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iri\Downloads\"/>
    </mc:Choice>
  </mc:AlternateContent>
  <bookViews>
    <workbookView xWindow="0" yWindow="0" windowWidth="14160" windowHeight="6645" tabRatio="793"/>
  </bookViews>
  <sheets>
    <sheet name="1 Práce s listy" sheetId="1" r:id="rId1"/>
    <sheet name="2. Obrácení seznamu" sheetId="2" r:id="rId2"/>
    <sheet name="3. Vzorce a odkazy" sheetId="3" r:id="rId3"/>
    <sheet name="4. Časové funkce" sheetId="4" r:id="rId4"/>
    <sheet name="5. Textové funkce" sheetId="5" r:id="rId5"/>
    <sheet name="Dynamické doplňování" sheetId="21" r:id="rId6"/>
    <sheet name="6. Logické funkce" sheetId="6" r:id="rId7"/>
    <sheet name="7. Ověření dat" sheetId="7" r:id="rId8"/>
    <sheet name="8. Podmíněné funkce" sheetId="8" r:id="rId9"/>
    <sheet name="9. Složené funkce" sheetId="9" r:id="rId10"/>
    <sheet name="10. Index" sheetId="10" r:id="rId11"/>
    <sheet name="11. Svyhledat" sheetId="11" r:id="rId12"/>
    <sheet name="12. Ostatní chytré funkce" sheetId="12" r:id="rId13"/>
    <sheet name="13. Prostorové vzorce" sheetId="13" r:id="rId14"/>
    <sheet name="Praha" sheetId="14" r:id="rId15"/>
    <sheet name="Brno" sheetId="15" r:id="rId16"/>
    <sheet name="Olomouc" sheetId="16" r:id="rId17"/>
    <sheet name="Rumburk" sheetId="17" r:id="rId18"/>
    <sheet name="14. Grafy" sheetId="18" r:id="rId19"/>
    <sheet name="15. Grafy 2" sheetId="19" r:id="rId20"/>
  </sheets>
  <externalReferences>
    <externalReference r:id="rId21"/>
  </externalReferences>
  <definedNames>
    <definedName name="Kody_zajezdu">[1]Zájezdy!$A$4:$A$10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3" l="1"/>
  <c r="C6" i="13"/>
  <c r="C7" i="13"/>
  <c r="C8" i="13"/>
  <c r="C4" i="13"/>
  <c r="C11" i="13" s="1"/>
  <c r="M25" i="12"/>
  <c r="M26" i="12"/>
  <c r="M27" i="12"/>
  <c r="M28" i="12"/>
  <c r="M29" i="12"/>
  <c r="M30" i="12"/>
  <c r="M31" i="12"/>
  <c r="M32" i="12"/>
  <c r="M24" i="12"/>
  <c r="M23" i="12"/>
  <c r="L20" i="12"/>
  <c r="K20" i="12"/>
  <c r="H20" i="12"/>
  <c r="H19" i="12"/>
  <c r="L15" i="12"/>
  <c r="L14" i="12"/>
  <c r="D5" i="11" l="1"/>
  <c r="D6" i="11"/>
  <c r="D7" i="11"/>
  <c r="D8" i="11"/>
  <c r="D9" i="11"/>
  <c r="D4" i="11"/>
  <c r="H29" i="12"/>
  <c r="H15" i="12"/>
  <c r="C4" i="12"/>
  <c r="C3" i="12"/>
  <c r="B7" i="12" s="1"/>
  <c r="I8" i="11"/>
  <c r="D20" i="10" l="1"/>
  <c r="E4" i="10"/>
  <c r="E5" i="10"/>
  <c r="E3" i="10"/>
  <c r="D4" i="10"/>
  <c r="D5" i="10"/>
  <c r="D3" i="10"/>
  <c r="E16" i="9"/>
  <c r="F16" i="9"/>
  <c r="F12" i="9"/>
  <c r="E17" i="9"/>
  <c r="E18" i="9"/>
  <c r="E19" i="9"/>
  <c r="E20" i="9"/>
  <c r="E21" i="9"/>
  <c r="F4" i="9"/>
  <c r="F5" i="9"/>
  <c r="F6" i="9"/>
  <c r="F7" i="9"/>
  <c r="F8" i="9"/>
  <c r="F9" i="9"/>
  <c r="F10" i="9"/>
  <c r="F11" i="9"/>
  <c r="F3" i="9"/>
  <c r="E4" i="9"/>
  <c r="E5" i="9"/>
  <c r="E6" i="9"/>
  <c r="E7" i="9"/>
  <c r="E8" i="9"/>
  <c r="E9" i="9"/>
  <c r="E10" i="9"/>
  <c r="E11" i="9"/>
  <c r="E12" i="9"/>
  <c r="E3" i="9"/>
  <c r="H9" i="8"/>
  <c r="H19" i="8"/>
  <c r="H17" i="8"/>
  <c r="H16" i="8"/>
  <c r="H15" i="8"/>
  <c r="H7" i="8"/>
  <c r="H6" i="8"/>
  <c r="H18" i="8"/>
  <c r="H8" i="8"/>
  <c r="H5" i="8"/>
  <c r="D4" i="7" l="1"/>
  <c r="D5" i="7"/>
  <c r="D6" i="7"/>
  <c r="D7" i="7"/>
  <c r="D8" i="7"/>
  <c r="D9" i="7"/>
  <c r="D10" i="7"/>
  <c r="D11" i="7"/>
  <c r="D12" i="7"/>
  <c r="D3" i="7"/>
  <c r="D31" i="6" l="1"/>
  <c r="D32" i="6"/>
  <c r="D33" i="6"/>
  <c r="D34" i="6"/>
  <c r="D35" i="6"/>
  <c r="D30" i="6"/>
  <c r="C17" i="6"/>
  <c r="C18" i="6"/>
  <c r="C19" i="6"/>
  <c r="C20" i="6"/>
  <c r="C21" i="6"/>
  <c r="C16" i="6"/>
  <c r="F4" i="6" l="1"/>
  <c r="F5" i="6"/>
  <c r="F6" i="6"/>
  <c r="F7" i="6"/>
  <c r="F8" i="6"/>
  <c r="F9" i="6"/>
  <c r="F10" i="6"/>
  <c r="F11" i="6"/>
  <c r="F12" i="6"/>
  <c r="F3" i="6"/>
  <c r="E4" i="6"/>
  <c r="E5" i="6"/>
  <c r="E6" i="6"/>
  <c r="E7" i="6"/>
  <c r="E8" i="6"/>
  <c r="E9" i="6"/>
  <c r="E10" i="6"/>
  <c r="E11" i="6"/>
  <c r="E12" i="6"/>
  <c r="E3" i="6"/>
  <c r="F36" i="5"/>
  <c r="F35" i="5"/>
  <c r="D36" i="5"/>
  <c r="D35" i="5"/>
  <c r="I24" i="5"/>
  <c r="I25" i="5"/>
  <c r="I23" i="5"/>
  <c r="I14" i="5"/>
  <c r="I12" i="5" s="1"/>
  <c r="I11" i="5"/>
  <c r="H14" i="5"/>
  <c r="H17" i="5" s="1"/>
  <c r="I17" i="5" s="1"/>
  <c r="C31" i="5"/>
  <c r="C32" i="5"/>
  <c r="C30" i="5"/>
  <c r="C29" i="5"/>
  <c r="C21" i="5"/>
  <c r="C22" i="5"/>
  <c r="C23" i="5"/>
  <c r="C24" i="5"/>
  <c r="C20" i="5"/>
  <c r="D12" i="5"/>
  <c r="D13" i="5"/>
  <c r="D14" i="5"/>
  <c r="D15" i="5"/>
  <c r="D16" i="5"/>
  <c r="D11" i="5"/>
  <c r="G5" i="4"/>
  <c r="G6" i="4"/>
  <c r="G7" i="4"/>
  <c r="G4" i="4"/>
  <c r="F5" i="4"/>
  <c r="F6" i="4"/>
  <c r="F7" i="4"/>
  <c r="F4" i="4"/>
  <c r="E5" i="4"/>
  <c r="E6" i="4"/>
  <c r="E7" i="4"/>
  <c r="E4" i="4"/>
  <c r="D5" i="4"/>
  <c r="D6" i="4"/>
  <c r="D7" i="4"/>
  <c r="D4" i="4"/>
  <c r="C5" i="4"/>
  <c r="C6" i="4"/>
  <c r="C7" i="4"/>
  <c r="C4" i="4"/>
  <c r="B8" i="4"/>
  <c r="C8" i="4" s="1"/>
  <c r="J28" i="3"/>
  <c r="J29" i="3"/>
  <c r="J9" i="3"/>
  <c r="J10" i="3"/>
  <c r="J11" i="3"/>
  <c r="J12" i="3"/>
  <c r="J13" i="3"/>
  <c r="J14" i="3"/>
  <c r="J8" i="3"/>
  <c r="I21" i="3"/>
  <c r="I19" i="3"/>
  <c r="I18" i="3"/>
  <c r="I17" i="3"/>
  <c r="I16" i="3"/>
  <c r="I22" i="3" s="1"/>
  <c r="I4" i="3"/>
  <c r="H4" i="3"/>
  <c r="H3" i="3"/>
  <c r="H2" i="3"/>
  <c r="G8" i="4" l="1"/>
  <c r="F8" i="4"/>
  <c r="E8" i="4"/>
  <c r="D8" i="4"/>
  <c r="B29" i="3"/>
  <c r="B30" i="3"/>
  <c r="B31" i="3"/>
  <c r="B32" i="3"/>
  <c r="B33" i="3"/>
  <c r="B34" i="3"/>
  <c r="B35" i="3"/>
  <c r="B36" i="3"/>
  <c r="B37" i="3"/>
  <c r="B28" i="3"/>
  <c r="B17" i="3"/>
  <c r="J8" i="1" l="1"/>
  <c r="J9" i="1"/>
  <c r="J10" i="1"/>
  <c r="J11" i="1"/>
  <c r="J12" i="1"/>
  <c r="J13" i="1"/>
  <c r="J14" i="1"/>
  <c r="J15" i="1"/>
  <c r="J16" i="1"/>
  <c r="J7" i="1"/>
  <c r="F18" i="18" l="1"/>
  <c r="D18" i="18"/>
  <c r="E18" i="18"/>
  <c r="C18" i="18"/>
  <c r="O10" i="17"/>
  <c r="N10" i="17"/>
  <c r="M10" i="17"/>
  <c r="L10" i="17"/>
  <c r="K10" i="17"/>
  <c r="J10" i="17"/>
  <c r="I10" i="17"/>
  <c r="H10" i="17"/>
  <c r="G10" i="17"/>
  <c r="F10" i="17"/>
  <c r="E10" i="17"/>
  <c r="D10" i="17"/>
  <c r="P9" i="17"/>
  <c r="P8" i="17"/>
  <c r="P7" i="17"/>
  <c r="P6" i="17"/>
  <c r="P5" i="17"/>
  <c r="O10" i="16"/>
  <c r="N10" i="16"/>
  <c r="M10" i="16"/>
  <c r="L10" i="16"/>
  <c r="K10" i="16"/>
  <c r="J10" i="16"/>
  <c r="I10" i="16"/>
  <c r="H10" i="16"/>
  <c r="G10" i="16"/>
  <c r="F10" i="16"/>
  <c r="E10" i="16"/>
  <c r="D10" i="16"/>
  <c r="P9" i="16"/>
  <c r="P8" i="16"/>
  <c r="P7" i="16"/>
  <c r="P6" i="16"/>
  <c r="P5" i="16"/>
  <c r="O10" i="15"/>
  <c r="N10" i="15"/>
  <c r="M10" i="15"/>
  <c r="L10" i="15"/>
  <c r="K10" i="15"/>
  <c r="J10" i="15"/>
  <c r="I10" i="15"/>
  <c r="H10" i="15"/>
  <c r="G10" i="15"/>
  <c r="F10" i="15"/>
  <c r="E10" i="15"/>
  <c r="D10" i="15"/>
  <c r="P9" i="15"/>
  <c r="P8" i="15"/>
  <c r="P7" i="15"/>
  <c r="P6" i="15"/>
  <c r="P5" i="15"/>
  <c r="O10" i="14"/>
  <c r="N10" i="14"/>
  <c r="M10" i="14"/>
  <c r="L10" i="14"/>
  <c r="K10" i="14"/>
  <c r="J10" i="14"/>
  <c r="I10" i="14"/>
  <c r="H10" i="14"/>
  <c r="G10" i="14"/>
  <c r="F10" i="14"/>
  <c r="E10" i="14"/>
  <c r="D10" i="14"/>
  <c r="P9" i="14"/>
  <c r="P8" i="14"/>
  <c r="P7" i="14"/>
  <c r="P6" i="14"/>
  <c r="P5" i="14"/>
  <c r="I27" i="3"/>
  <c r="J27" i="3" s="1"/>
  <c r="C21" i="9" l="1"/>
  <c r="C20" i="9"/>
  <c r="C19" i="9"/>
  <c r="C18" i="9"/>
  <c r="C17" i="9"/>
  <c r="D10" i="8"/>
  <c r="D9" i="8"/>
  <c r="D8" i="8"/>
  <c r="D7" i="8"/>
  <c r="D6" i="8"/>
</calcChain>
</file>

<file path=xl/sharedStrings.xml><?xml version="1.0" encoding="utf-8"?>
<sst xmlns="http://schemas.openxmlformats.org/spreadsheetml/2006/main" count="680" uniqueCount="375">
  <si>
    <t>Praha</t>
  </si>
  <si>
    <t>Brno</t>
  </si>
  <si>
    <t>Plzeň</t>
  </si>
  <si>
    <t>České Budějovice</t>
  </si>
  <si>
    <t>Ostrava</t>
  </si>
  <si>
    <t>Olomouc</t>
  </si>
  <si>
    <t>Rumburk</t>
  </si>
  <si>
    <t>Celkem</t>
  </si>
  <si>
    <t>Adam</t>
  </si>
  <si>
    <t>Bára</t>
  </si>
  <si>
    <t>Cyril</t>
  </si>
  <si>
    <t>David</t>
  </si>
  <si>
    <t>Eva</t>
  </si>
  <si>
    <t>František</t>
  </si>
  <si>
    <t>Gábina</t>
  </si>
  <si>
    <t>Hynek</t>
  </si>
  <si>
    <t>Iveta</t>
  </si>
  <si>
    <t>Jonáš</t>
  </si>
  <si>
    <t>Počet vyřízených objednávek podle zaměstnanců a výdejních míst</t>
  </si>
  <si>
    <t>Čteme rádi, s.r.o, Rodinný elektronický obchod s knihami</t>
  </si>
  <si>
    <t>Zasastávky na trase Beroun - Praha</t>
  </si>
  <si>
    <t>Absolutní a relativní odkazování</t>
  </si>
  <si>
    <t>Zdroj</t>
  </si>
  <si>
    <t>Jaro</t>
  </si>
  <si>
    <t>Léto</t>
  </si>
  <si>
    <t>Podzim</t>
  </si>
  <si>
    <t>Zima</t>
  </si>
  <si>
    <t>Pondělí</t>
  </si>
  <si>
    <t>Úterý</t>
  </si>
  <si>
    <t>Středa</t>
  </si>
  <si>
    <t>Čtvrtek</t>
  </si>
  <si>
    <t>Modrá</t>
  </si>
  <si>
    <t>Zelená</t>
  </si>
  <si>
    <t>Červená</t>
  </si>
  <si>
    <t>Žlutá</t>
  </si>
  <si>
    <t>Mouka</t>
  </si>
  <si>
    <t>Vejce</t>
  </si>
  <si>
    <t>Chléb</t>
  </si>
  <si>
    <t>Rýže</t>
  </si>
  <si>
    <t>Odkaz</t>
  </si>
  <si>
    <t>Seznam zaměstnanců společnosti</t>
  </si>
  <si>
    <t>Vzorce</t>
  </si>
  <si>
    <t>Pátek</t>
  </si>
  <si>
    <t>Sobota</t>
  </si>
  <si>
    <t>Neděle</t>
  </si>
  <si>
    <t>Víkend</t>
  </si>
  <si>
    <t>Součet</t>
  </si>
  <si>
    <t>Průměr</t>
  </si>
  <si>
    <t>Den</t>
  </si>
  <si>
    <t>Prodaných kusů "Stařec a moře"</t>
  </si>
  <si>
    <t>Váha v kg</t>
  </si>
  <si>
    <t>Váha knihy v kg</t>
  </si>
  <si>
    <t>Váha zásilek za týden</t>
  </si>
  <si>
    <t>Váha zásilek za víkend</t>
  </si>
  <si>
    <t>Váha zásilek</t>
  </si>
  <si>
    <t>Datum</t>
  </si>
  <si>
    <t>Den v týdnu</t>
  </si>
  <si>
    <t>Karel Gott</t>
  </si>
  <si>
    <t>Barack Obama</t>
  </si>
  <si>
    <t>Petra Kvitová</t>
  </si>
  <si>
    <t>Vaše datum narození</t>
  </si>
  <si>
    <t>Dnešní datum</t>
  </si>
  <si>
    <t>Den v měsíci</t>
  </si>
  <si>
    <t>Kalendářní týden</t>
  </si>
  <si>
    <t>Měsíc v roce</t>
  </si>
  <si>
    <t>Jméno</t>
  </si>
  <si>
    <t>Adam Borovec</t>
  </si>
  <si>
    <t>Cyril Dvořák</t>
  </si>
  <si>
    <t>Iva Jílková</t>
  </si>
  <si>
    <t>Kamila Lomnická</t>
  </si>
  <si>
    <t>Eva Filipová</t>
  </si>
  <si>
    <t>Pobočka</t>
  </si>
  <si>
    <t>Gustav Vejce</t>
  </si>
  <si>
    <t>Seznam největších klientů</t>
  </si>
  <si>
    <t>Výrobek</t>
  </si>
  <si>
    <t>Triko Spiderman XXL</t>
  </si>
  <si>
    <t>Triko Superman M</t>
  </si>
  <si>
    <t>Mikina Flash XS</t>
  </si>
  <si>
    <t>Triko Mimoňi L</t>
  </si>
  <si>
    <t>Dárky zákazníkům</t>
  </si>
  <si>
    <t>Seznam knih</t>
  </si>
  <si>
    <t>Stařec a moře V</t>
  </si>
  <si>
    <t>Stařec a moře P</t>
  </si>
  <si>
    <t>Malý princ V</t>
  </si>
  <si>
    <t>Proces V</t>
  </si>
  <si>
    <t>Da Vinciho kód E</t>
  </si>
  <si>
    <t>Typ</t>
  </si>
  <si>
    <t>Školení BOZP</t>
  </si>
  <si>
    <t>Kurz řidičů</t>
  </si>
  <si>
    <t>Alespoň 1 kurz splněn</t>
  </si>
  <si>
    <t>Splněny všechny kurzy</t>
  </si>
  <si>
    <t>Svačina</t>
  </si>
  <si>
    <t>Hranolky</t>
  </si>
  <si>
    <t>Jablko</t>
  </si>
  <si>
    <t>Smažený sýr</t>
  </si>
  <si>
    <t>Bůček</t>
  </si>
  <si>
    <t>Francouzský dort</t>
  </si>
  <si>
    <t>Vliv na zdraví</t>
  </si>
  <si>
    <t>Student</t>
  </si>
  <si>
    <t>Bodů</t>
  </si>
  <si>
    <t>Vilém</t>
  </si>
  <si>
    <t>Jarmila</t>
  </si>
  <si>
    <t>Výsledek</t>
  </si>
  <si>
    <t>Test znalostí knih (0-100 bodů)</t>
  </si>
  <si>
    <t>Hranice splnění</t>
  </si>
  <si>
    <t>Reklamace</t>
  </si>
  <si>
    <t>Stav reklamace</t>
  </si>
  <si>
    <t>Stavy reklamací</t>
  </si>
  <si>
    <t>Vyhovět</t>
  </si>
  <si>
    <t>Zamítnout</t>
  </si>
  <si>
    <t>Přezkoumat</t>
  </si>
  <si>
    <t>Hodnocení</t>
  </si>
  <si>
    <t>Vegetariánské</t>
  </si>
  <si>
    <t>Zdravé</t>
  </si>
  <si>
    <t>Ano</t>
  </si>
  <si>
    <t>Špekáčky</t>
  </si>
  <si>
    <t>Ne</t>
  </si>
  <si>
    <t>Kantýna - seznam svačin</t>
  </si>
  <si>
    <t>Počet zdravých jídel v menu</t>
  </si>
  <si>
    <t>Porcí</t>
  </si>
  <si>
    <t>Vegetarián</t>
  </si>
  <si>
    <t>Součet servírovaných porcí zdravých jídel</t>
  </si>
  <si>
    <t>Součet servírovaných porcí vegetariánských  jídel</t>
  </si>
  <si>
    <t>Počet vegetariánských jídel</t>
  </si>
  <si>
    <t>Statistiky kantýny</t>
  </si>
  <si>
    <t>Statistiky zaměstnanců</t>
  </si>
  <si>
    <t>Průměrná váha</t>
  </si>
  <si>
    <t>Průměrná váha vegetariánů</t>
  </si>
  <si>
    <t>Průměrná váha ostatních</t>
  </si>
  <si>
    <t>Popis</t>
  </si>
  <si>
    <t>Zákazník</t>
  </si>
  <si>
    <t xml:space="preserve">Kód </t>
  </si>
  <si>
    <t>Zájezd</t>
  </si>
  <si>
    <t>Kód</t>
  </si>
  <si>
    <t>Cena</t>
  </si>
  <si>
    <t>Novák Jan</t>
  </si>
  <si>
    <t>I23</t>
  </si>
  <si>
    <t>E12</t>
  </si>
  <si>
    <t>Velký okruh Španělskem</t>
  </si>
  <si>
    <t>Rokoš Jiří</t>
  </si>
  <si>
    <t>F06</t>
  </si>
  <si>
    <t>Tři dny v Paříži</t>
  </si>
  <si>
    <t>Králová Marie</t>
  </si>
  <si>
    <t>I11</t>
  </si>
  <si>
    <t>Za poznáním do jižní Itálie</t>
  </si>
  <si>
    <t>Sluka Michal</t>
  </si>
  <si>
    <t>Jarní Dolomity</t>
  </si>
  <si>
    <t>Kašpar Oldřich</t>
  </si>
  <si>
    <t>N12</t>
  </si>
  <si>
    <t>Na sever Laponska</t>
  </si>
  <si>
    <t>Janáková Květa</t>
  </si>
  <si>
    <t>N15</t>
  </si>
  <si>
    <t>Za polární kruh</t>
  </si>
  <si>
    <t>R05</t>
  </si>
  <si>
    <t>Velký moskevský okruh</t>
  </si>
  <si>
    <t>Regál</t>
  </si>
  <si>
    <t>Police</t>
  </si>
  <si>
    <t>Stařec a Moře</t>
  </si>
  <si>
    <t>Dášenka</t>
  </si>
  <si>
    <t>Da Vinci Code</t>
  </si>
  <si>
    <t>Čtyřhodinový pracovní týden</t>
  </si>
  <si>
    <t>Malý princ</t>
  </si>
  <si>
    <t>Ztracený symbol</t>
  </si>
  <si>
    <t>Volání Kukačky</t>
  </si>
  <si>
    <t>Harry Potter</t>
  </si>
  <si>
    <t>Inferno</t>
  </si>
  <si>
    <t>Opřete se do toho</t>
  </si>
  <si>
    <t>New York Průvodce</t>
  </si>
  <si>
    <t>City Boy</t>
  </si>
  <si>
    <t>Alchymista</t>
  </si>
  <si>
    <t>Stoletý stařík</t>
  </si>
  <si>
    <t>Válka s Mloky</t>
  </si>
  <si>
    <t>Kniha</t>
  </si>
  <si>
    <t>Losování o výhru</t>
  </si>
  <si>
    <t>Tažené číslo:</t>
  </si>
  <si>
    <t>Výherce</t>
  </si>
  <si>
    <t>Pořadí</t>
  </si>
  <si>
    <t>Skalární součin</t>
  </si>
  <si>
    <t>Počet prodejů</t>
  </si>
  <si>
    <t>Celkové tržby</t>
  </si>
  <si>
    <t>IFERROR</t>
  </si>
  <si>
    <t>Počet prodanýh knih</t>
  </si>
  <si>
    <t>Celkové náklady na dopravu</t>
  </si>
  <si>
    <t>Náklady na jednu knihu</t>
  </si>
  <si>
    <t>Cena nejdražšího zájezdu</t>
  </si>
  <si>
    <t>Cena nejlevnějšího zájezdu</t>
  </si>
  <si>
    <t>MAX / MIN</t>
  </si>
  <si>
    <t>Hranolky, Jablko, Smažený sýr, Bůček</t>
  </si>
  <si>
    <t>Seznam oddělený čárkami</t>
  </si>
  <si>
    <t>Seznam oddělený středníky</t>
  </si>
  <si>
    <t>DOSADIT  / SUBSTITUTE</t>
  </si>
  <si>
    <t>VELKÁ / UPPER - MALÁ / LOWER</t>
  </si>
  <si>
    <t>Velkymi písmeny</t>
  </si>
  <si>
    <t>Malými písmeny</t>
  </si>
  <si>
    <t>Zaokrouhlování</t>
  </si>
  <si>
    <t>Pí</t>
  </si>
  <si>
    <t>Státní dluh</t>
  </si>
  <si>
    <t>Hodnota</t>
  </si>
  <si>
    <t>Zaokrouhleno</t>
  </si>
  <si>
    <t>Počet vyřízených objednávek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</si>
  <si>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</si>
  <si>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</si>
  <si>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</si>
  <si>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</si>
  <si>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</si>
  <si>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</si>
  <si>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</si>
  <si>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</si>
  <si>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</si>
  <si>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</si>
  <si>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</si>
  <si>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</si>
  <si>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Všichni</t>
  </si>
  <si>
    <t>Leden - všechny pobočky</t>
  </si>
  <si>
    <t>Celkový součet</t>
  </si>
  <si>
    <t>Město</t>
  </si>
  <si>
    <t>Prodejů</t>
  </si>
  <si>
    <t>Počet měsíců k součtu</t>
  </si>
  <si>
    <t>Návštěvy webu</t>
  </si>
  <si>
    <t>Počet nákupů</t>
  </si>
  <si>
    <t>Průměrná útrata</t>
  </si>
  <si>
    <t>Pohlaví</t>
  </si>
  <si>
    <t>Celková útrata</t>
  </si>
  <si>
    <t>Praha-Radotín</t>
  </si>
  <si>
    <t>Černošice</t>
  </si>
  <si>
    <t>Černošice-Mokropsy</t>
  </si>
  <si>
    <t>Dobřichovice</t>
  </si>
  <si>
    <t>Řevnice</t>
  </si>
  <si>
    <t>Zadní Třebaň</t>
  </si>
  <si>
    <t>Karlštejn</t>
  </si>
  <si>
    <t>Srbsko</t>
  </si>
  <si>
    <t>Beroun</t>
  </si>
  <si>
    <t>Praha hl.n. přestup na Metro</t>
  </si>
  <si>
    <t>Praha-Smíchov přestup na Metro</t>
  </si>
  <si>
    <t>Praha-Velká Chuchle jízdenky se prodávají ve vlaku</t>
  </si>
  <si>
    <t>Všenory jízdenky se prodávají ve vlaku</t>
  </si>
  <si>
    <t>Petr</t>
  </si>
  <si>
    <t>=Průměr()</t>
  </si>
  <si>
    <t>=average()</t>
  </si>
  <si>
    <t>=suma()</t>
  </si>
  <si>
    <t>=sum()</t>
  </si>
  <si>
    <t>Počet dní</t>
  </si>
  <si>
    <t>=Počet()</t>
  </si>
  <si>
    <t>=count()</t>
  </si>
  <si>
    <t>=ZAOKROUHLIT()</t>
  </si>
  <si>
    <t>=ROUND()</t>
  </si>
  <si>
    <t>=dnes()</t>
  </si>
  <si>
    <t>=today()</t>
  </si>
  <si>
    <t>=dentýdne()</t>
  </si>
  <si>
    <t>=weekday()</t>
  </si>
  <si>
    <t>=weeknum()</t>
  </si>
  <si>
    <t>=isoweeknum()</t>
  </si>
  <si>
    <t>=den()</t>
  </si>
  <si>
    <t>=day()</t>
  </si>
  <si>
    <t>=měsíc()</t>
  </si>
  <si>
    <t>=month()</t>
  </si>
  <si>
    <t>Rok</t>
  </si>
  <si>
    <t>=rok()</t>
  </si>
  <si>
    <t>=year()</t>
  </si>
  <si>
    <t>=networkdays()</t>
  </si>
  <si>
    <t>počet pracovních dnů (bez státních svátků)</t>
  </si>
  <si>
    <t>Zkratka pobočky</t>
  </si>
  <si>
    <t>=zleva()</t>
  </si>
  <si>
    <t>=vlevo()</t>
  </si>
  <si>
    <t>=left()</t>
  </si>
  <si>
    <t>(starý Excel)</t>
  </si>
  <si>
    <t>=zprava()</t>
  </si>
  <si>
    <t>=vpavo()</t>
  </si>
  <si>
    <t>=right()</t>
  </si>
  <si>
    <t>=část()</t>
  </si>
  <si>
    <t>=mid()</t>
  </si>
  <si>
    <t>=hledat()</t>
  </si>
  <si>
    <t>=find()</t>
  </si>
  <si>
    <t>Je to triko?</t>
  </si>
  <si>
    <t>=dosadit()</t>
  </si>
  <si>
    <t>=substitute()</t>
  </si>
  <si>
    <t>Jablko nahrazené hruškou</t>
  </si>
  <si>
    <t>=velká()</t>
  </si>
  <si>
    <t>=upper()</t>
  </si>
  <si>
    <t>=malá()</t>
  </si>
  <si>
    <t>=lower()</t>
  </si>
  <si>
    <t>Délka textu</t>
  </si>
  <si>
    <t>=délka()</t>
  </si>
  <si>
    <t>=len()</t>
  </si>
  <si>
    <t>Spojování textu</t>
  </si>
  <si>
    <t>Novák</t>
  </si>
  <si>
    <t>Barbora</t>
  </si>
  <si>
    <t>Novotná</t>
  </si>
  <si>
    <t>Adam Novák</t>
  </si>
  <si>
    <t>Borovec, Adam</t>
  </si>
  <si>
    <t>Dvořák, Cyril</t>
  </si>
  <si>
    <t>Filipová, Eva</t>
  </si>
  <si>
    <t>Vejce, Gustav</t>
  </si>
  <si>
    <t>Jílková, Iva</t>
  </si>
  <si>
    <t>Lomnická, Kamila</t>
  </si>
  <si>
    <t>XXL</t>
  </si>
  <si>
    <t>M</t>
  </si>
  <si>
    <t>XS</t>
  </si>
  <si>
    <t>L</t>
  </si>
  <si>
    <t>Superhrdina</t>
  </si>
  <si>
    <t>Velikost</t>
  </si>
  <si>
    <t>Spiderman</t>
  </si>
  <si>
    <t>Superman</t>
  </si>
  <si>
    <t>Flash</t>
  </si>
  <si>
    <t>Mimoňi</t>
  </si>
  <si>
    <t>XXL druh:Triko hrdina:Spiderman</t>
  </si>
  <si>
    <t>M druh:Triko hrdina:Superman</t>
  </si>
  <si>
    <t>XS druh:Mikina hrdina:Flash</t>
  </si>
  <si>
    <t>L druh:Triko hrdina:Mimoňi</t>
  </si>
  <si>
    <t>=a()</t>
  </si>
  <si>
    <t>=and()</t>
  </si>
  <si>
    <t>=nebo()</t>
  </si>
  <si>
    <t>=or()</t>
  </si>
  <si>
    <t>Hranice pro splnění</t>
  </si>
  <si>
    <t>=když()</t>
  </si>
  <si>
    <t>=if()</t>
  </si>
  <si>
    <t>Hranice pro vyznamenání</t>
  </si>
  <si>
    <t>Blíže přezkoumat</t>
  </si>
  <si>
    <t>=countif()</t>
  </si>
  <si>
    <t>Nezdravé</t>
  </si>
  <si>
    <t>Počet zaměstnanců s váhou nad 60 Kg</t>
  </si>
  <si>
    <t>=sumif()</t>
  </si>
  <si>
    <t>=averageif()</t>
  </si>
  <si>
    <t>Průměrná váha zam. S váhou nad 70 Kg</t>
  </si>
  <si>
    <t>=sumifs()</t>
  </si>
  <si>
    <t>Součet nezdravých vegetariánských jídel</t>
  </si>
  <si>
    <t>Vegetarián s nadprůměrnou váhou</t>
  </si>
  <si>
    <t>=index()</t>
  </si>
  <si>
    <t>=svyhledat()</t>
  </si>
  <si>
    <t>=vlookup()</t>
  </si>
  <si>
    <t>I12</t>
  </si>
  <si>
    <t>=vvyhledat()</t>
  </si>
  <si>
    <t>=hlookup()</t>
  </si>
  <si>
    <t>=rand()</t>
  </si>
  <si>
    <t>=randbetween()</t>
  </si>
  <si>
    <t>=náhčíslo()</t>
  </si>
  <si>
    <t>=součin.skalární</t>
  </si>
  <si>
    <t>=sumproduct</t>
  </si>
  <si>
    <t>Počet neopravených testů</t>
  </si>
  <si>
    <t>Počet opravených testů</t>
  </si>
  <si>
    <t>Výsledky testů</t>
  </si>
  <si>
    <t>=countblank()</t>
  </si>
  <si>
    <t>=počet()</t>
  </si>
  <si>
    <t>=počet2()</t>
  </si>
  <si>
    <t>=counta()</t>
  </si>
  <si>
    <t>=max()</t>
  </si>
  <si>
    <t>=min()</t>
  </si>
  <si>
    <t>=posun()</t>
  </si>
  <si>
    <t>=offset()</t>
  </si>
  <si>
    <t>Prodeje</t>
  </si>
  <si>
    <t>Od začátku roku</t>
  </si>
  <si>
    <t>Počet nákupů z jednotlivých měst v průběhu roku</t>
  </si>
  <si>
    <t>Muž 1</t>
  </si>
  <si>
    <t>Muž 2</t>
  </si>
  <si>
    <t>Muž 3</t>
  </si>
  <si>
    <t>Muž 4</t>
  </si>
  <si>
    <t>Muž 5</t>
  </si>
  <si>
    <t>Muž 6</t>
  </si>
  <si>
    <t>Muž 7</t>
  </si>
  <si>
    <t>Muž 8</t>
  </si>
  <si>
    <t>Muž 9</t>
  </si>
  <si>
    <t>Muž 10</t>
  </si>
  <si>
    <t>Muž 11</t>
  </si>
  <si>
    <t>Žena 1</t>
  </si>
  <si>
    <t>Žena 2</t>
  </si>
  <si>
    <t>Žena 3</t>
  </si>
  <si>
    <t>Žena 4</t>
  </si>
  <si>
    <t>Žena 5</t>
  </si>
  <si>
    <t>Žena 6</t>
  </si>
  <si>
    <t>Žena 7</t>
  </si>
  <si>
    <t>Žena 8</t>
  </si>
  <si>
    <t>Žena 9</t>
  </si>
  <si>
    <t>Žena 10</t>
  </si>
  <si>
    <t>Žena 11</t>
  </si>
  <si>
    <t>Žena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</si>
</sst>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0.000000"/>
    <numFmt numFmtId="167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2" fillId="0" borderId="0" xfId="0" applyFont="1"/>
    <xf numFmtId="14" fontId="0" fillId="0" borderId="0" xfId="0" applyNumberFormat="1"/>
    <xf numFmtId="0" fontId="0" fillId="0" borderId="0" xfId="0" quotePrefix="1"/>
    <xf numFmtId="14" fontId="0" fillId="0" borderId="0" xfId="0" applyNumberFormat="1" applyAlignment="1">
      <alignment horizontal="center"/>
    </xf>
    <xf numFmtId="0" fontId="2" fillId="0" borderId="1" xfId="0" applyFont="1" applyBorder="1"/>
    <xf numFmtId="0" fontId="0" fillId="0" borderId="1" xfId="0" applyBorder="1"/>
    <xf numFmtId="164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3" fontId="0" fillId="0" borderId="0" xfId="0" applyNumberFormat="1"/>
    <xf numFmtId="3" fontId="2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20" fontId="0" fillId="0" borderId="0" xfId="0" applyNumberFormat="1"/>
    <xf numFmtId="166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quotePrefix="1" applyFont="1"/>
    <xf numFmtId="0" fontId="0" fillId="0" borderId="0" xfId="0" applyProtection="1">
      <protection locked="0"/>
    </xf>
    <xf numFmtId="167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0" xfId="0" applyFont="1" applyBorder="1"/>
    <xf numFmtId="0" fontId="0" fillId="0" borderId="0" xfId="0" applyFont="1" applyBorder="1"/>
    <xf numFmtId="0" fontId="4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2" borderId="0" xfId="0" applyFont="1" applyFill="1" applyBorder="1" applyAlignment="1">
      <alignment horizontal="center"/>
    </xf>
    <xf numFmtId="0" fontId="3" fillId="0" borderId="0" xfId="0" applyFont="1" applyBorder="1"/>
  </cellXfs>
  <cellStyles count="2">
    <cellStyle name="Měna" xfId="1" builtinId="4"/>
    <cellStyle name="Normální" xfId="0" builtinId="0"/>
  </cellStyles>
  <dxfs count="1"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Grafy'!$C$5</c:f>
              <c:strCache>
                <c:ptCount val="1"/>
                <c:pt idx="0">
                  <c:v>Praha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'14. Grafy'!$B$6:$B$17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'14. Grafy'!$C$6:$C$17</c:f>
              <c:numCache>
                <c:formatCode>General</c:formatCode>
                <c:ptCount val="12"/>
                <c:pt idx="0">
                  <c:v>95</c:v>
                </c:pt>
                <c:pt idx="1">
                  <c:v>99</c:v>
                </c:pt>
                <c:pt idx="2">
                  <c:v>26</c:v>
                </c:pt>
                <c:pt idx="3">
                  <c:v>81</c:v>
                </c:pt>
                <c:pt idx="4">
                  <c:v>88</c:v>
                </c:pt>
                <c:pt idx="5">
                  <c:v>61</c:v>
                </c:pt>
                <c:pt idx="6">
                  <c:v>55</c:v>
                </c:pt>
                <c:pt idx="7">
                  <c:v>60</c:v>
                </c:pt>
                <c:pt idx="8">
                  <c:v>79</c:v>
                </c:pt>
                <c:pt idx="9">
                  <c:v>66</c:v>
                </c:pt>
                <c:pt idx="10">
                  <c:v>92</c:v>
                </c:pt>
                <c:pt idx="11">
                  <c:v>45</c:v>
                </c:pt>
              </c:numCache>
            </c:numRef>
          </c:val>
        </c:ser>
        <c:ser>
          <c:idx val="1"/>
          <c:order val="1"/>
          <c:tx>
            <c:strRef>
              <c:f>'14. Grafy'!$D$5</c:f>
              <c:strCache>
                <c:ptCount val="1"/>
                <c:pt idx="0">
                  <c:v>Brno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'14. Grafy'!$B$6:$B$17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'14. Grafy'!$D$6:$D$17</c:f>
              <c:numCache>
                <c:formatCode>General</c:formatCode>
                <c:ptCount val="12"/>
                <c:pt idx="0">
                  <c:v>49</c:v>
                </c:pt>
                <c:pt idx="1">
                  <c:v>75</c:v>
                </c:pt>
                <c:pt idx="2">
                  <c:v>76</c:v>
                </c:pt>
                <c:pt idx="3">
                  <c:v>98</c:v>
                </c:pt>
                <c:pt idx="4">
                  <c:v>87</c:v>
                </c:pt>
                <c:pt idx="5">
                  <c:v>30</c:v>
                </c:pt>
                <c:pt idx="6">
                  <c:v>92</c:v>
                </c:pt>
                <c:pt idx="7">
                  <c:v>19</c:v>
                </c:pt>
                <c:pt idx="8">
                  <c:v>11</c:v>
                </c:pt>
                <c:pt idx="9">
                  <c:v>93</c:v>
                </c:pt>
                <c:pt idx="10">
                  <c:v>92</c:v>
                </c:pt>
                <c:pt idx="11">
                  <c:v>45</c:v>
                </c:pt>
              </c:numCache>
            </c:numRef>
          </c:val>
        </c:ser>
        <c:ser>
          <c:idx val="2"/>
          <c:order val="2"/>
          <c:tx>
            <c:strRef>
              <c:f>'14. Grafy'!$E$5</c:f>
              <c:strCache>
                <c:ptCount val="1"/>
                <c:pt idx="0">
                  <c:v>Plzeň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'14. Grafy'!$B$6:$B$17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'14. Grafy'!$E$6:$E$17</c:f>
              <c:numCache>
                <c:formatCode>General</c:formatCode>
                <c:ptCount val="12"/>
                <c:pt idx="0">
                  <c:v>21</c:v>
                </c:pt>
                <c:pt idx="1">
                  <c:v>52</c:v>
                </c:pt>
                <c:pt idx="2">
                  <c:v>31</c:v>
                </c:pt>
                <c:pt idx="3">
                  <c:v>68</c:v>
                </c:pt>
                <c:pt idx="4">
                  <c:v>23</c:v>
                </c:pt>
                <c:pt idx="5">
                  <c:v>67</c:v>
                </c:pt>
                <c:pt idx="6">
                  <c:v>36</c:v>
                </c:pt>
                <c:pt idx="7">
                  <c:v>30</c:v>
                </c:pt>
                <c:pt idx="8">
                  <c:v>26</c:v>
                </c:pt>
                <c:pt idx="9">
                  <c:v>79</c:v>
                </c:pt>
                <c:pt idx="10">
                  <c:v>92</c:v>
                </c:pt>
                <c:pt idx="1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521951240"/>
        <c:axId val="521946928"/>
      </c:barChart>
      <c:lineChart>
        <c:grouping val="stacked"/>
        <c:varyColors val="0"/>
        <c:ser>
          <c:idx val="3"/>
          <c:order val="3"/>
          <c:tx>
            <c:strRef>
              <c:f>'14. Grafy'!$F$5</c:f>
              <c:strCache>
                <c:ptCount val="1"/>
                <c:pt idx="0">
                  <c:v>Návštěvy webu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'14. Grafy'!$B$6:$B$17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'14. Grafy'!$F$6:$F$17</c:f>
              <c:numCache>
                <c:formatCode>#,##0</c:formatCode>
                <c:ptCount val="12"/>
                <c:pt idx="0">
                  <c:v>338508</c:v>
                </c:pt>
                <c:pt idx="1">
                  <c:v>145659</c:v>
                </c:pt>
                <c:pt idx="2">
                  <c:v>251868</c:v>
                </c:pt>
                <c:pt idx="3">
                  <c:v>184186</c:v>
                </c:pt>
                <c:pt idx="4">
                  <c:v>137741</c:v>
                </c:pt>
                <c:pt idx="5">
                  <c:v>183563</c:v>
                </c:pt>
                <c:pt idx="6">
                  <c:v>307291</c:v>
                </c:pt>
                <c:pt idx="7">
                  <c:v>153838</c:v>
                </c:pt>
                <c:pt idx="8">
                  <c:v>496323</c:v>
                </c:pt>
                <c:pt idx="9">
                  <c:v>193328</c:v>
                </c:pt>
                <c:pt idx="10">
                  <c:v>209642</c:v>
                </c:pt>
                <c:pt idx="11">
                  <c:v>428407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46536"/>
        <c:axId val="521948888"/>
      </c:lineChart>
      <c:catAx>
        <c:axId val="521951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Měsíce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1946928"/>
        <c:crosses val="autoZero"/>
        <c:auto val="1"/>
        <c:lblAlgn val="ctr"/>
        <c:lblOffset val="100"/>
        <c:noMultiLvlLbl val="0"/>
      </c:catAx>
      <c:valAx>
        <c:axId val="5219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Prodeje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1951240"/>
        <c:crosses val="autoZero"/>
        <c:crossBetween val="between"/>
      </c:valAx>
      <c:valAx>
        <c:axId val="521948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Návštěvy webu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1946536"/>
        <c:crosses val="max"/>
        <c:crossBetween val="between"/>
      </c:valAx>
      <c:catAx>
        <c:axId val="521946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9488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'14. Grafy'!$F$5</c:f>
              <c:strCache>
                <c:ptCount val="1"/>
                <c:pt idx="0">
                  <c:v>Návštěvy webu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5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val>
            <c:numRef>
              <c:f>'14. Grafy'!$F$6:$F$17</c:f>
              <c:numCache>
                <c:formatCode>#,##0</c:formatCode>
                <c:ptCount val="12"/>
                <c:pt idx="0">
                  <c:v>338508</c:v>
                </c:pt>
                <c:pt idx="1">
                  <c:v>145659</c:v>
                </c:pt>
                <c:pt idx="2">
                  <c:v>251868</c:v>
                </c:pt>
                <c:pt idx="3">
                  <c:v>184186</c:v>
                </c:pt>
                <c:pt idx="4">
                  <c:v>137741</c:v>
                </c:pt>
                <c:pt idx="5">
                  <c:v>183563</c:v>
                </c:pt>
                <c:pt idx="6">
                  <c:v>307291</c:v>
                </c:pt>
                <c:pt idx="7">
                  <c:v>153838</c:v>
                </c:pt>
                <c:pt idx="8">
                  <c:v>496323</c:v>
                </c:pt>
                <c:pt idx="9">
                  <c:v>193328</c:v>
                </c:pt>
                <c:pt idx="10">
                  <c:v>209642</c:v>
                </c:pt>
                <c:pt idx="11">
                  <c:v>428407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948496"/>
        <c:axId val="525844808"/>
      </c:lineChart>
      <c:catAx>
        <c:axId val="521948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5844808"/>
        <c:crosses val="autoZero"/>
        <c:auto val="1"/>
        <c:lblAlgn val="ctr"/>
        <c:lblOffset val="100"/>
        <c:noMultiLvlLbl val="0"/>
      </c:catAx>
      <c:valAx>
        <c:axId val="52584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194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Příklad bublinového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ubbleChart>
        <c:varyColors val="0"/>
        <c:ser>
          <c:idx val="0"/>
          <c:order val="0"/>
          <c:tx>
            <c:v>Muži</c:v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DBD32C4-8F3A-45B8-9FB1-D22710E9F423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9122D21-419F-4374-BAD0-2D23A7CEC828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74EA7AD-10DA-4FC2-BC2D-F701E8D635BC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DDF49D9-F175-49F2-9BAD-A4A2539D9D40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1123742-DFB2-483E-9912-D776F2EEE326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372C199-B98A-457C-9986-AA0F8F2A720E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8A39402-3AD9-4F2F-8CFC-26FC37152177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4FC91CB-4F1D-4249-8C12-317A584E7EA2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83CB4CE-0396-4507-9B04-55DC8B4CECCD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4434540-2653-41B4-A44F-EF1F68E477F7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6BB04EA-DE1E-4F3F-8877-3B29F7045963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'15. Grafy 2'!$C$4:$C$14</c:f>
              <c:numCache>
                <c:formatCode>General</c:formatCode>
                <c:ptCount val="11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5</c:v>
                </c:pt>
                <c:pt idx="5">
                  <c:v>14</c:v>
                </c:pt>
                <c:pt idx="6">
                  <c:v>14</c:v>
                </c:pt>
                <c:pt idx="7">
                  <c:v>19</c:v>
                </c:pt>
                <c:pt idx="8">
                  <c:v>15</c:v>
                </c:pt>
                <c:pt idx="9">
                  <c:v>14</c:v>
                </c:pt>
                <c:pt idx="10">
                  <c:v>1</c:v>
                </c:pt>
              </c:numCache>
            </c:numRef>
          </c:xVal>
          <c:yVal>
            <c:numRef>
              <c:f>'15. Grafy 2'!$D$4:$D$14</c:f>
              <c:numCache>
                <c:formatCode>_-* #\ ##0\ "Kč"_-;\-* #\ ##0\ "Kč"_-;_-* "-"??\ "Kč"_-;_-@_-</c:formatCode>
                <c:ptCount val="11"/>
                <c:pt idx="0">
                  <c:v>863</c:v>
                </c:pt>
                <c:pt idx="1">
                  <c:v>543</c:v>
                </c:pt>
                <c:pt idx="2">
                  <c:v>638</c:v>
                </c:pt>
                <c:pt idx="3">
                  <c:v>464</c:v>
                </c:pt>
                <c:pt idx="4">
                  <c:v>884</c:v>
                </c:pt>
                <c:pt idx="5">
                  <c:v>611</c:v>
                </c:pt>
                <c:pt idx="6">
                  <c:v>304</c:v>
                </c:pt>
                <c:pt idx="7">
                  <c:v>784</c:v>
                </c:pt>
                <c:pt idx="8">
                  <c:v>1453</c:v>
                </c:pt>
                <c:pt idx="9">
                  <c:v>1177</c:v>
                </c:pt>
                <c:pt idx="10">
                  <c:v>1052</c:v>
                </c:pt>
              </c:numCache>
            </c:numRef>
          </c:yVal>
          <c:bubbleSize>
            <c:numRef>
              <c:f>'15. Grafy 2'!$E$4:$E$14</c:f>
              <c:numCache>
                <c:formatCode>_-* #\ ##0\ "Kč"_-;\-* #\ ##0\ "Kč"_-;_-* "-"??\ "Kč"_-;_-@_-</c:formatCode>
                <c:ptCount val="11"/>
                <c:pt idx="0">
                  <c:v>12945</c:v>
                </c:pt>
                <c:pt idx="1">
                  <c:v>6516</c:v>
                </c:pt>
                <c:pt idx="2">
                  <c:v>7656</c:v>
                </c:pt>
                <c:pt idx="3">
                  <c:v>4640</c:v>
                </c:pt>
                <c:pt idx="4">
                  <c:v>4420</c:v>
                </c:pt>
                <c:pt idx="5">
                  <c:v>8554</c:v>
                </c:pt>
                <c:pt idx="6">
                  <c:v>4256</c:v>
                </c:pt>
                <c:pt idx="7">
                  <c:v>14896</c:v>
                </c:pt>
                <c:pt idx="8">
                  <c:v>21795</c:v>
                </c:pt>
                <c:pt idx="9">
                  <c:v>16478</c:v>
                </c:pt>
                <c:pt idx="10">
                  <c:v>1052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'15. Grafy 2'!$B$4:$B$14</c15:f>
                <c15:dlblRangeCache>
                  <c:ptCount val="11"/>
                  <c:pt idx="0">
                    <c:v>Muž 1</c:v>
                  </c:pt>
                  <c:pt idx="1">
                    <c:v>Muž 2</c:v>
                  </c:pt>
                  <c:pt idx="2">
                    <c:v>Muž 3</c:v>
                  </c:pt>
                  <c:pt idx="3">
                    <c:v>Muž 4</c:v>
                  </c:pt>
                  <c:pt idx="4">
                    <c:v>Muž 5</c:v>
                  </c:pt>
                  <c:pt idx="5">
                    <c:v>Muž 6</c:v>
                  </c:pt>
                  <c:pt idx="6">
                    <c:v>Muž 7</c:v>
                  </c:pt>
                  <c:pt idx="7">
                    <c:v>Muž 8</c:v>
                  </c:pt>
                  <c:pt idx="8">
                    <c:v>Muž 9</c:v>
                  </c:pt>
                  <c:pt idx="9">
                    <c:v>Muž 10</c:v>
                  </c:pt>
                  <c:pt idx="10">
                    <c:v>Muž 11</c:v>
                  </c:pt>
                </c15:dlblRangeCache>
              </c15:datalabelsRange>
            </c:ext>
          </c:extLst>
        </c:ser>
        <c:ser>
          <c:idx val="1"/>
          <c:order val="1"/>
          <c:tx>
            <c:v>Ženy</c:v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EA6B1AD-6873-4875-949D-6144B1A6559E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AAFFFAF4-4CAE-4DD8-9D42-4C3C636DAA4B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3C43814-A3F3-4BC5-801D-BF2A14F87F97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76AB36E3-9843-42A2-BBC2-4CC315B4F995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938EF7-CE26-4C8A-A881-F20AEB82D28E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6E28BFA9-B1EF-40DD-ACEA-F748A1CD8F84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5590AD3-270B-4C8A-B791-07754EF5B7B7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8D4C21AB-CB3B-4C50-AC0D-C987B982250D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7C6D104-E650-4C46-B1E3-BF773E6392DB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CC268398-23A4-4B5A-8FE2-F3031C6A57F0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FB807E2-77C5-4E23-9AF8-5627BE6D06DF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E47F7AA6-918E-487B-9377-E3EEB068711A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26E69F0-97F2-48F1-A009-5504E9ACFCCA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881877E3-FDEE-4C77-94C5-18C78297025B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B362173-BE84-4F8D-8D4A-41132BE8F5AC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1A65AAFC-0490-43A3-B762-B7207CA0D691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82BDE23-B116-4F87-B920-17CC6C8E64FF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FCA08F2A-9823-41EC-80A7-A3369ABEDC12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CA0B41C-2A5D-40E2-A027-19DB2A8422DE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0C8EA84D-6C0B-4B36-BDFB-75EA733BF621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7A4DEEF-F126-4790-B52A-7D2E5D938C64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C4E045E2-949B-431F-B22F-F15151C79880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5FB66CC-C85A-4DE2-A47E-779DCCD8DB06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AD2D2D9E-04B7-4E9B-8E3A-287D015E0C75}" type="YVALUE">
                      <a:rPr lang="cs-CZ" baseline="0"/>
                      <a:pPr/>
                      <a:t>[HODNOTA Y]</a:t>
                    </a:fld>
                    <a:endParaRPr lang="cs-CZ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'15. Grafy 2'!$C$15:$C$26</c:f>
              <c:numCache>
                <c:formatCode>General</c:formatCode>
                <c:ptCount val="12"/>
                <c:pt idx="0">
                  <c:v>21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24</c:v>
                </c:pt>
                <c:pt idx="5">
                  <c:v>19.5</c:v>
                </c:pt>
                <c:pt idx="6">
                  <c:v>27</c:v>
                </c:pt>
                <c:pt idx="7">
                  <c:v>6</c:v>
                </c:pt>
                <c:pt idx="8">
                  <c:v>27</c:v>
                </c:pt>
                <c:pt idx="9">
                  <c:v>13.5</c:v>
                </c:pt>
                <c:pt idx="10">
                  <c:v>1.5</c:v>
                </c:pt>
                <c:pt idx="11">
                  <c:v>16.5</c:v>
                </c:pt>
              </c:numCache>
            </c:numRef>
          </c:xVal>
          <c:yVal>
            <c:numRef>
              <c:f>'15. Grafy 2'!$D$15:$D$26</c:f>
              <c:numCache>
                <c:formatCode>_-* #\ ##0\ "Kč"_-;\-* #\ ##0\ "Kč"_-;_-* "-"??\ "Kč"_-;_-@_-</c:formatCode>
                <c:ptCount val="12"/>
                <c:pt idx="0">
                  <c:v>431.1</c:v>
                </c:pt>
                <c:pt idx="1">
                  <c:v>712.80000000000007</c:v>
                </c:pt>
                <c:pt idx="2">
                  <c:v>692.1</c:v>
                </c:pt>
                <c:pt idx="3">
                  <c:v>1123.2</c:v>
                </c:pt>
                <c:pt idx="4">
                  <c:v>535.5</c:v>
                </c:pt>
                <c:pt idx="5">
                  <c:v>675</c:v>
                </c:pt>
                <c:pt idx="6">
                  <c:v>1323</c:v>
                </c:pt>
                <c:pt idx="7">
                  <c:v>391.5</c:v>
                </c:pt>
                <c:pt idx="8">
                  <c:v>1032.3</c:v>
                </c:pt>
                <c:pt idx="9">
                  <c:v>657</c:v>
                </c:pt>
                <c:pt idx="10">
                  <c:v>536.4</c:v>
                </c:pt>
                <c:pt idx="11">
                  <c:v>1254.6000000000001</c:v>
                </c:pt>
              </c:numCache>
            </c:numRef>
          </c:yVal>
          <c:bubbleSize>
            <c:numRef>
              <c:f>'15. Grafy 2'!$E$15:$E$26</c:f>
              <c:numCache>
                <c:formatCode>_-* #\ ##0\ "Kč"_-;\-* #\ ##0\ "Kč"_-;_-* "-"??\ "Kč"_-;_-@_-</c:formatCode>
                <c:ptCount val="12"/>
                <c:pt idx="0">
                  <c:v>9053.1</c:v>
                </c:pt>
                <c:pt idx="1">
                  <c:v>8553.6</c:v>
                </c:pt>
                <c:pt idx="2">
                  <c:v>8305.2000000000007</c:v>
                </c:pt>
                <c:pt idx="3">
                  <c:v>13478.400000000001</c:v>
                </c:pt>
                <c:pt idx="4">
                  <c:v>12852</c:v>
                </c:pt>
                <c:pt idx="5">
                  <c:v>13162.5</c:v>
                </c:pt>
                <c:pt idx="6">
                  <c:v>35721</c:v>
                </c:pt>
                <c:pt idx="7">
                  <c:v>2349</c:v>
                </c:pt>
                <c:pt idx="8">
                  <c:v>27872.1</c:v>
                </c:pt>
                <c:pt idx="9">
                  <c:v>8869.5</c:v>
                </c:pt>
                <c:pt idx="10">
                  <c:v>804.59999999999991</c:v>
                </c:pt>
                <c:pt idx="11">
                  <c:v>20700.900000000001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'15. Grafy 2'!$B$15:$B$26</c15:f>
                <c15:dlblRangeCache>
                  <c:ptCount val="12"/>
                  <c:pt idx="0">
                    <c:v>Žena 1</c:v>
                  </c:pt>
                  <c:pt idx="1">
                    <c:v>Žena 2</c:v>
                  </c:pt>
                  <c:pt idx="2">
                    <c:v>Žena 3</c:v>
                  </c:pt>
                  <c:pt idx="3">
                    <c:v>Žena 4</c:v>
                  </c:pt>
                  <c:pt idx="4">
                    <c:v>Žena 5</c:v>
                  </c:pt>
                  <c:pt idx="5">
                    <c:v>Žena 6</c:v>
                  </c:pt>
                  <c:pt idx="6">
                    <c:v>Žena 7</c:v>
                  </c:pt>
                  <c:pt idx="7">
                    <c:v>Žena 8</c:v>
                  </c:pt>
                  <c:pt idx="8">
                    <c:v>Žena 9</c:v>
                  </c:pt>
                  <c:pt idx="9">
                    <c:v>Žena 10</c:v>
                  </c:pt>
                  <c:pt idx="10">
                    <c:v>Žena 11</c:v>
                  </c:pt>
                  <c:pt idx="11">
                    <c:v>Žena 12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525846768"/>
        <c:axId val="525847160"/>
      </c:bubbleChart>
      <c:valAx>
        <c:axId val="52584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5847160"/>
        <c:crosses val="autoZero"/>
        <c:crossBetween val="midCat"/>
      </c:valAx>
      <c:valAx>
        <c:axId val="52584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č&quot;_-;\-* #\ ##0\ &quot;Kč&quot;_-;_-* &quot;-&quot;??\ &quot;Kč&quot;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584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171449</xdr:colOff>
      <xdr:row>3</xdr:row>
      <xdr:rowOff>114300</xdr:rowOff>
    </xdr:from>
    <xdr:to>
      <xdr:col>26</xdr:col>
      <xdr:colOff>85725</xdr:colOff>
      <xdr:row>18</xdr:row>
      <xdr:rowOff>0</xdr:rowOff>
    </xdr:to>
    <xdr:graphicFrame macro="">
      <xdr:nvGraphicFramePr>
        <xdr:cNvPr id="14" name="Graf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209550</xdr:colOff>
      <xdr:row>18</xdr:row>
      <xdr:rowOff>47625</xdr:rowOff>
    </xdr:from>
    <xdr:to>
      <xdr:col>22</xdr:col>
      <xdr:colOff>514350</xdr:colOff>
      <xdr:row>32</xdr:row>
      <xdr:rowOff>123825</xdr:rowOff>
    </xdr:to>
    <xdr:graphicFrame macro="">
      <xdr:nvGraphicFramePr>
        <xdr:cNvPr id="15" name="Graf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1</xdr:row>
      <xdr:rowOff>38099</xdr:rowOff>
    </xdr:from>
    <xdr:to>
      <xdr:col>15</xdr:col>
      <xdr:colOff>361949</xdr:colOff>
      <xdr:row>21</xdr:row>
      <xdr:rowOff>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ri\Dropbox\Aktu&#225;ln&#237;%20Projekty\_Excel%20&#353;kolen&#237;\Excel_skoleni\Priklady\Kapitola%20G%20-%2021%20Funkcia%20V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jezdy"/>
      <sheetName val="Vyhledávací funkce"/>
    </sheetNames>
    <sheetDataSet>
      <sheetData sheetId="0">
        <row r="4">
          <cell r="A4" t="str">
            <v>E12</v>
          </cell>
        </row>
        <row r="5">
          <cell r="A5" t="str">
            <v>F06</v>
          </cell>
        </row>
        <row r="6">
          <cell r="A6" t="str">
            <v>I11</v>
          </cell>
        </row>
        <row r="7">
          <cell r="A7" t="str">
            <v>I23</v>
          </cell>
        </row>
        <row r="8">
          <cell r="A8" t="str">
            <v>N12</v>
          </cell>
        </row>
        <row r="9">
          <cell r="A9" t="str">
            <v>N15</v>
          </cell>
        </row>
        <row r="10">
          <cell r="A10" t="str">
            <v>R05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00B0F0"/>
  </sheetPr>
  <dimension ref="B1:J16"/>
  <sheetViews>
    <sheetView tabSelected="1" workbookViewId="0">
      <selection activeCell="C24" sqref="C24"/>
    </sheetView>
  </sheetViews>
  <sheetFormatPr defaultRowHeight="15" x14ac:dyDescent="0.25"/>
  <cols>
    <col min="2" max="2" width="13.5703125" customWidth="1"/>
    <col min="3" max="3" width="11.5703125" customWidth="1"/>
    <col min="4" max="4" width="10.85546875" customWidth="1"/>
    <col min="5" max="10" width="16.42578125" customWidth="1"/>
  </cols>
  <sheetData>
    <row r="1" spans="2:10" x14ac:dyDescent="0.25">
      <c r="B1" s="2" t="s">
        <v>19</v>
      </c>
    </row>
    <row r="4" spans="2:10" x14ac:dyDescent="0.25">
      <c r="B4" s="2" t="s">
        <v>18</v>
      </c>
    </row>
    <row r="5" spans="2:10" x14ac:dyDescent="0.25">
      <c r="B5" s="2"/>
    </row>
    <row r="6" spans="2:10" ht="18" customHeight="1" x14ac:dyDescent="0.25">
      <c r="C6" t="s">
        <v>0</v>
      </c>
      <c r="D6" t="s">
        <v>1</v>
      </c>
      <c r="E6" t="s">
        <v>2</v>
      </c>
      <c r="F6" t="s">
        <v>3</v>
      </c>
      <c r="G6" t="s">
        <v>4</v>
      </c>
      <c r="H6" t="s">
        <v>5</v>
      </c>
      <c r="I6" t="s">
        <v>6</v>
      </c>
      <c r="J6" t="s">
        <v>7</v>
      </c>
    </row>
    <row r="7" spans="2:10" ht="18" customHeight="1" x14ac:dyDescent="0.25">
      <c r="B7" t="s">
        <v>236</v>
      </c>
      <c r="C7">
        <v>95</v>
      </c>
      <c r="D7">
        <v>49</v>
      </c>
      <c r="E7">
        <v>21</v>
      </c>
      <c r="F7">
        <v>56</v>
      </c>
      <c r="G7">
        <v>28</v>
      </c>
      <c r="H7">
        <v>74</v>
      </c>
      <c r="I7">
        <v>57</v>
      </c>
      <c r="J7">
        <f>SUM(C7:I7)</f>
        <v>380</v>
      </c>
    </row>
    <row r="8" spans="2:10" ht="18" customHeight="1" x14ac:dyDescent="0.25">
      <c r="B8" t="s">
        <v>15</v>
      </c>
      <c r="C8">
        <v>60</v>
      </c>
      <c r="D8">
        <v>19</v>
      </c>
      <c r="E8">
        <v>30</v>
      </c>
      <c r="F8">
        <v>46</v>
      </c>
      <c r="G8">
        <v>70</v>
      </c>
      <c r="H8">
        <v>74</v>
      </c>
      <c r="I8">
        <v>16</v>
      </c>
      <c r="J8">
        <f t="shared" ref="J8:J16" si="0">SUM(C8:I8)</f>
        <v>315</v>
      </c>
    </row>
    <row r="9" spans="2:10" ht="18" customHeight="1" x14ac:dyDescent="0.25">
      <c r="B9" t="s">
        <v>16</v>
      </c>
      <c r="C9">
        <v>79</v>
      </c>
      <c r="D9">
        <v>11</v>
      </c>
      <c r="E9">
        <v>26</v>
      </c>
      <c r="F9">
        <v>81</v>
      </c>
      <c r="G9">
        <v>96</v>
      </c>
      <c r="H9">
        <v>9</v>
      </c>
      <c r="I9">
        <v>30</v>
      </c>
      <c r="J9">
        <f t="shared" si="0"/>
        <v>332</v>
      </c>
    </row>
    <row r="10" spans="2:10" ht="18" customHeight="1" x14ac:dyDescent="0.25">
      <c r="B10" t="s">
        <v>17</v>
      </c>
      <c r="C10">
        <v>66</v>
      </c>
      <c r="D10">
        <v>93</v>
      </c>
      <c r="E10">
        <v>79</v>
      </c>
      <c r="F10">
        <v>98</v>
      </c>
      <c r="G10">
        <v>78</v>
      </c>
      <c r="H10">
        <v>36</v>
      </c>
      <c r="I10">
        <v>20</v>
      </c>
      <c r="J10">
        <f t="shared" si="0"/>
        <v>470</v>
      </c>
    </row>
    <row r="11" spans="2:10" ht="18" customHeight="1" x14ac:dyDescent="0.25">
      <c r="B11" t="s">
        <v>9</v>
      </c>
      <c r="C11">
        <v>99</v>
      </c>
      <c r="D11">
        <v>75</v>
      </c>
      <c r="E11">
        <v>52</v>
      </c>
      <c r="F11">
        <v>76</v>
      </c>
      <c r="G11">
        <v>38</v>
      </c>
      <c r="H11">
        <v>29</v>
      </c>
      <c r="I11">
        <v>92</v>
      </c>
      <c r="J11">
        <f t="shared" si="0"/>
        <v>461</v>
      </c>
    </row>
    <row r="12" spans="2:10" ht="18" customHeight="1" x14ac:dyDescent="0.25">
      <c r="B12" t="s">
        <v>10</v>
      </c>
      <c r="C12">
        <v>26</v>
      </c>
      <c r="D12">
        <v>76</v>
      </c>
      <c r="E12">
        <v>31</v>
      </c>
      <c r="F12">
        <v>92</v>
      </c>
      <c r="G12">
        <v>60</v>
      </c>
      <c r="H12">
        <v>89</v>
      </c>
      <c r="I12">
        <v>45</v>
      </c>
      <c r="J12">
        <f t="shared" si="0"/>
        <v>419</v>
      </c>
    </row>
    <row r="13" spans="2:10" ht="18" customHeight="1" x14ac:dyDescent="0.25">
      <c r="B13" t="s">
        <v>11</v>
      </c>
      <c r="C13">
        <v>81</v>
      </c>
      <c r="D13">
        <v>98</v>
      </c>
      <c r="E13">
        <v>68</v>
      </c>
      <c r="F13">
        <v>77</v>
      </c>
      <c r="G13">
        <v>24</v>
      </c>
      <c r="H13">
        <v>61</v>
      </c>
      <c r="I13">
        <v>100</v>
      </c>
      <c r="J13">
        <f t="shared" si="0"/>
        <v>509</v>
      </c>
    </row>
    <row r="14" spans="2:10" ht="18" customHeight="1" x14ac:dyDescent="0.25">
      <c r="B14" t="s">
        <v>12</v>
      </c>
      <c r="C14">
        <v>88</v>
      </c>
      <c r="D14">
        <v>87</v>
      </c>
      <c r="E14">
        <v>23</v>
      </c>
      <c r="F14">
        <v>39</v>
      </c>
      <c r="G14">
        <v>31</v>
      </c>
      <c r="H14">
        <v>72</v>
      </c>
      <c r="I14">
        <v>99</v>
      </c>
      <c r="J14">
        <f t="shared" si="0"/>
        <v>439</v>
      </c>
    </row>
    <row r="15" spans="2:10" ht="18" customHeight="1" x14ac:dyDescent="0.25">
      <c r="B15" t="s">
        <v>13</v>
      </c>
      <c r="C15">
        <v>61</v>
      </c>
      <c r="D15">
        <v>30</v>
      </c>
      <c r="E15">
        <v>67</v>
      </c>
      <c r="F15">
        <v>20</v>
      </c>
      <c r="G15">
        <v>15</v>
      </c>
      <c r="H15">
        <v>69</v>
      </c>
      <c r="I15">
        <v>99</v>
      </c>
      <c r="J15">
        <f t="shared" si="0"/>
        <v>361</v>
      </c>
    </row>
    <row r="16" spans="2:10" ht="18" customHeight="1" x14ac:dyDescent="0.25">
      <c r="B16" t="s">
        <v>14</v>
      </c>
      <c r="C16">
        <v>55</v>
      </c>
      <c r="D16">
        <v>92</v>
      </c>
      <c r="E16">
        <v>36</v>
      </c>
      <c r="F16">
        <v>65</v>
      </c>
      <c r="G16">
        <v>92</v>
      </c>
      <c r="H16">
        <v>26</v>
      </c>
      <c r="I16">
        <v>60</v>
      </c>
      <c r="J16">
        <f t="shared" si="0"/>
        <v>426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B2:F21"/>
  <sheetViews>
    <sheetView topLeftCell="A3" workbookViewId="0">
      <selection activeCell="G21" sqref="G21"/>
    </sheetView>
  </sheetViews>
  <sheetFormatPr defaultRowHeight="15" x14ac:dyDescent="0.25"/>
  <cols>
    <col min="2" max="2" width="17.7109375" customWidth="1"/>
    <col min="3" max="3" width="15.5703125" customWidth="1"/>
    <col min="4" max="4" width="17.140625" customWidth="1"/>
    <col min="5" max="5" width="12.85546875" customWidth="1"/>
    <col min="6" max="6" width="20.140625" customWidth="1"/>
  </cols>
  <sheetData>
    <row r="2" spans="2:6" x14ac:dyDescent="0.25">
      <c r="C2" t="s">
        <v>120</v>
      </c>
      <c r="D2" t="s">
        <v>50</v>
      </c>
      <c r="E2" t="s">
        <v>326</v>
      </c>
    </row>
    <row r="3" spans="2:6" x14ac:dyDescent="0.25">
      <c r="B3" t="s">
        <v>8</v>
      </c>
      <c r="C3" t="s">
        <v>114</v>
      </c>
      <c r="D3">
        <v>69</v>
      </c>
      <c r="E3" t="b">
        <f>AND(C3="Ano",D3&gt;AVERAGE($D$3:$D$12))</f>
        <v>0</v>
      </c>
      <c r="F3" t="str">
        <f>IF(D3&lt;AVERAGE($D$3:$D$12),"Pod průměrem o "&amp;ROUND(AVERAGE($D$3:$D$12)-D3,1)&amp;" kg","Větší nebo rovno než průměr")</f>
        <v>Pod průměrem o 2,4 kg</v>
      </c>
    </row>
    <row r="4" spans="2:6" x14ac:dyDescent="0.25">
      <c r="B4" t="s">
        <v>9</v>
      </c>
      <c r="C4" t="s">
        <v>116</v>
      </c>
      <c r="D4">
        <v>52</v>
      </c>
      <c r="E4" t="b">
        <f t="shared" ref="E4:E12" si="0">AND(C4="Ano",D4&gt;AVERAGE($D$3:$D$12))</f>
        <v>0</v>
      </c>
      <c r="F4" t="str">
        <f t="shared" ref="F4:F11" si="1">IF(D4&lt;AVERAGE($D$3:$D$12),"Pod průměrem o "&amp;ROUND(AVERAGE($D$3:$D$12)-D4,1)&amp;" kg","Větší nebo rovno než průměr")</f>
        <v>Pod průměrem o 19,4 kg</v>
      </c>
    </row>
    <row r="5" spans="2:6" x14ac:dyDescent="0.25">
      <c r="B5" t="s">
        <v>10</v>
      </c>
      <c r="C5" t="s">
        <v>116</v>
      </c>
      <c r="D5">
        <v>85</v>
      </c>
      <c r="E5" t="b">
        <f t="shared" si="0"/>
        <v>0</v>
      </c>
      <c r="F5" t="str">
        <f t="shared" si="1"/>
        <v>Větší nebo rovno než průměr</v>
      </c>
    </row>
    <row r="6" spans="2:6" x14ac:dyDescent="0.25">
      <c r="B6" t="s">
        <v>11</v>
      </c>
      <c r="C6" t="s">
        <v>116</v>
      </c>
      <c r="D6">
        <v>70</v>
      </c>
      <c r="E6" t="b">
        <f t="shared" si="0"/>
        <v>0</v>
      </c>
      <c r="F6" t="str">
        <f t="shared" si="1"/>
        <v>Pod průměrem o 1,4 kg</v>
      </c>
    </row>
    <row r="7" spans="2:6" x14ac:dyDescent="0.25">
      <c r="B7" t="s">
        <v>12</v>
      </c>
      <c r="C7" t="s">
        <v>114</v>
      </c>
      <c r="D7">
        <v>83</v>
      </c>
      <c r="E7" t="b">
        <f t="shared" si="0"/>
        <v>1</v>
      </c>
      <c r="F7" t="str">
        <f t="shared" si="1"/>
        <v>Větší nebo rovno než průměr</v>
      </c>
    </row>
    <row r="8" spans="2:6" x14ac:dyDescent="0.25">
      <c r="B8" t="s">
        <v>13</v>
      </c>
      <c r="C8" t="s">
        <v>114</v>
      </c>
      <c r="D8">
        <v>71</v>
      </c>
      <c r="E8" t="b">
        <f t="shared" si="0"/>
        <v>0</v>
      </c>
      <c r="F8" t="str">
        <f t="shared" si="1"/>
        <v>Pod průměrem o 0,4 kg</v>
      </c>
    </row>
    <row r="9" spans="2:6" x14ac:dyDescent="0.25">
      <c r="B9" t="s">
        <v>14</v>
      </c>
      <c r="C9" t="s">
        <v>116</v>
      </c>
      <c r="D9">
        <v>67</v>
      </c>
      <c r="E9" t="b">
        <f t="shared" si="0"/>
        <v>0</v>
      </c>
      <c r="F9" t="str">
        <f t="shared" si="1"/>
        <v>Pod průměrem o 4,4 kg</v>
      </c>
    </row>
    <row r="10" spans="2:6" x14ac:dyDescent="0.25">
      <c r="B10" t="s">
        <v>15</v>
      </c>
      <c r="C10" t="s">
        <v>116</v>
      </c>
      <c r="D10">
        <v>67</v>
      </c>
      <c r="E10" t="b">
        <f t="shared" si="0"/>
        <v>0</v>
      </c>
      <c r="F10" t="str">
        <f t="shared" si="1"/>
        <v>Pod průměrem o 4,4 kg</v>
      </c>
    </row>
    <row r="11" spans="2:6" x14ac:dyDescent="0.25">
      <c r="B11" t="s">
        <v>16</v>
      </c>
      <c r="C11" t="s">
        <v>116</v>
      </c>
      <c r="D11">
        <v>65</v>
      </c>
      <c r="E11" t="b">
        <f t="shared" si="0"/>
        <v>0</v>
      </c>
      <c r="F11" t="str">
        <f t="shared" si="1"/>
        <v>Pod průměrem o 6,4 kg</v>
      </c>
    </row>
    <row r="12" spans="2:6" x14ac:dyDescent="0.25">
      <c r="B12" t="s">
        <v>17</v>
      </c>
      <c r="C12" t="s">
        <v>116</v>
      </c>
      <c r="D12">
        <v>85</v>
      </c>
      <c r="E12" t="b">
        <f t="shared" si="0"/>
        <v>0</v>
      </c>
      <c r="F12" t="str">
        <f>IF(D12&lt;AVERAGE($D$3:$D$12),"Pod průměrem o "&amp;ROUND(AVERAGE($D$3:$D$12)-D12,1)&amp;" kg","Větší nebo rovno než průměr")</f>
        <v>Větší nebo rovno než průměr</v>
      </c>
    </row>
    <row r="15" spans="2:6" x14ac:dyDescent="0.25">
      <c r="B15" s="2" t="s">
        <v>91</v>
      </c>
      <c r="C15" s="2" t="s">
        <v>111</v>
      </c>
      <c r="D15" s="2" t="s">
        <v>112</v>
      </c>
      <c r="E15" s="2" t="s">
        <v>129</v>
      </c>
    </row>
    <row r="16" spans="2:6" x14ac:dyDescent="0.25">
      <c r="B16" s="1" t="s">
        <v>92</v>
      </c>
      <c r="C16" t="s">
        <v>319</v>
      </c>
      <c r="D16" t="s">
        <v>114</v>
      </c>
      <c r="E16" t="str">
        <f>IF(
C16="Zdravé",
IF(D16="Ano","Zdravé bez masa","Zdravé s masem"),
IF(D16="Ano","Nezdravé bez masa","Nezdravé s masem")
)</f>
        <v>Nezdravé bez masa</v>
      </c>
      <c r="F16">
        <f>N("hodnota")</f>
        <v>0</v>
      </c>
    </row>
    <row r="17" spans="2:5" x14ac:dyDescent="0.25">
      <c r="B17" t="s">
        <v>93</v>
      </c>
      <c r="C17" t="str">
        <f>IF(B17="Jablko","Zdravé","Nezdravé")</f>
        <v>Zdravé</v>
      </c>
      <c r="D17" t="s">
        <v>114</v>
      </c>
      <c r="E17" t="str">
        <f t="shared" ref="E17:E21" si="2">IF(C17="Zdravé",IF(D17="Ano","Zdravé bez masa","Zdravé s masem"),IF(D17="Ano","Nezdravé bez masa","Nezdravé s masem"))</f>
        <v>Zdravé bez masa</v>
      </c>
    </row>
    <row r="18" spans="2:5" x14ac:dyDescent="0.25">
      <c r="B18" t="s">
        <v>94</v>
      </c>
      <c r="C18" t="str">
        <f>IF(B18="Jablko","Zdravé","Nezdravé")</f>
        <v>Nezdravé</v>
      </c>
      <c r="D18" t="s">
        <v>114</v>
      </c>
      <c r="E18" t="str">
        <f t="shared" si="2"/>
        <v>Nezdravé bez masa</v>
      </c>
    </row>
    <row r="19" spans="2:5" x14ac:dyDescent="0.25">
      <c r="B19" t="s">
        <v>115</v>
      </c>
      <c r="C19" t="str">
        <f>IF(B19="Jablko","Zdravé","Nezdravé")</f>
        <v>Nezdravé</v>
      </c>
      <c r="D19" t="s">
        <v>116</v>
      </c>
      <c r="E19" t="str">
        <f t="shared" si="2"/>
        <v>Nezdravé s masem</v>
      </c>
    </row>
    <row r="20" spans="2:5" x14ac:dyDescent="0.25">
      <c r="B20" t="s">
        <v>95</v>
      </c>
      <c r="C20" t="str">
        <f>IF(B20="Jablko","Zdravé","Nezdravé")</f>
        <v>Nezdravé</v>
      </c>
      <c r="D20" t="s">
        <v>116</v>
      </c>
      <c r="E20" t="str">
        <f t="shared" si="2"/>
        <v>Nezdravé s masem</v>
      </c>
    </row>
    <row r="21" spans="2:5" x14ac:dyDescent="0.25">
      <c r="B21" t="s">
        <v>96</v>
      </c>
      <c r="C21" t="str">
        <f>IF(B21="Jablko","Zdravé","Nezdravé")</f>
        <v>Nezdravé</v>
      </c>
      <c r="D21" t="s">
        <v>114</v>
      </c>
      <c r="E21" t="str">
        <f t="shared" si="2"/>
        <v>Nezdravé bez masa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2:H22"/>
  <sheetViews>
    <sheetView workbookViewId="0">
      <selection activeCell="H22" sqref="H22"/>
    </sheetView>
  </sheetViews>
  <sheetFormatPr defaultRowHeight="15" x14ac:dyDescent="0.25"/>
  <cols>
    <col min="2" max="6" width="19.85546875" customWidth="1"/>
    <col min="9" max="9" width="9.85546875" customWidth="1"/>
    <col min="10" max="10" width="24.7109375" customWidth="1"/>
    <col min="11" max="11" width="17.5703125" customWidth="1"/>
  </cols>
  <sheetData>
    <row r="2" spans="1:7" x14ac:dyDescent="0.25">
      <c r="B2" s="2"/>
      <c r="C2" s="2" t="s">
        <v>55</v>
      </c>
      <c r="D2" s="2" t="s">
        <v>56</v>
      </c>
      <c r="E2" s="2"/>
      <c r="G2" s="2"/>
    </row>
    <row r="3" spans="1:7" x14ac:dyDescent="0.25">
      <c r="B3" t="s">
        <v>57</v>
      </c>
      <c r="C3" s="5">
        <v>14440</v>
      </c>
      <c r="D3">
        <f>WEEKDAY(C3,2)</f>
        <v>5</v>
      </c>
      <c r="E3" t="str">
        <f>INDEX($G$3:$G$9,D3)</f>
        <v>Pátek</v>
      </c>
      <c r="F3" s="4" t="s">
        <v>327</v>
      </c>
      <c r="G3" t="s">
        <v>27</v>
      </c>
    </row>
    <row r="4" spans="1:7" x14ac:dyDescent="0.25">
      <c r="B4" t="s">
        <v>58</v>
      </c>
      <c r="C4" s="5">
        <v>22497</v>
      </c>
      <c r="D4">
        <f t="shared" ref="D4:D5" si="0">WEEKDAY(C4,2)</f>
        <v>5</v>
      </c>
      <c r="E4" t="str">
        <f t="shared" ref="E4:E5" si="1">INDEX($G$3:$G$9,D4)</f>
        <v>Pátek</v>
      </c>
      <c r="G4" t="s">
        <v>28</v>
      </c>
    </row>
    <row r="5" spans="1:7" x14ac:dyDescent="0.25">
      <c r="B5" t="s">
        <v>59</v>
      </c>
      <c r="C5" s="5">
        <v>32940</v>
      </c>
      <c r="D5">
        <f t="shared" si="0"/>
        <v>4</v>
      </c>
      <c r="E5" t="str">
        <f t="shared" si="1"/>
        <v>Čtvrtek</v>
      </c>
      <c r="G5" t="s">
        <v>29</v>
      </c>
    </row>
    <row r="6" spans="1:7" x14ac:dyDescent="0.25">
      <c r="G6" t="s">
        <v>30</v>
      </c>
    </row>
    <row r="7" spans="1:7" x14ac:dyDescent="0.25">
      <c r="G7" t="s">
        <v>42</v>
      </c>
    </row>
    <row r="8" spans="1:7" x14ac:dyDescent="0.25">
      <c r="G8" t="s">
        <v>43</v>
      </c>
    </row>
    <row r="9" spans="1:7" x14ac:dyDescent="0.25">
      <c r="B9" s="2"/>
      <c r="C9" s="2"/>
      <c r="D9" s="2"/>
      <c r="G9" t="s">
        <v>44</v>
      </c>
    </row>
    <row r="10" spans="1:7" x14ac:dyDescent="0.25">
      <c r="C10" t="s">
        <v>155</v>
      </c>
    </row>
    <row r="11" spans="1:7" x14ac:dyDescent="0.25">
      <c r="C11">
        <v>1</v>
      </c>
      <c r="D11">
        <v>2</v>
      </c>
      <c r="E11">
        <v>3</v>
      </c>
    </row>
    <row r="12" spans="1:7" x14ac:dyDescent="0.25">
      <c r="A12" t="s">
        <v>156</v>
      </c>
      <c r="B12">
        <v>1</v>
      </c>
      <c r="C12" t="s">
        <v>157</v>
      </c>
      <c r="D12" t="s">
        <v>158</v>
      </c>
      <c r="E12" t="s">
        <v>159</v>
      </c>
    </row>
    <row r="13" spans="1:7" x14ac:dyDescent="0.25">
      <c r="B13">
        <v>2</v>
      </c>
      <c r="C13" t="s">
        <v>160</v>
      </c>
      <c r="D13" t="s">
        <v>161</v>
      </c>
      <c r="E13" t="s">
        <v>162</v>
      </c>
    </row>
    <row r="14" spans="1:7" x14ac:dyDescent="0.25">
      <c r="B14">
        <v>3</v>
      </c>
      <c r="C14" t="s">
        <v>163</v>
      </c>
      <c r="D14" t="s">
        <v>164</v>
      </c>
      <c r="E14" t="s">
        <v>165</v>
      </c>
    </row>
    <row r="15" spans="1:7" x14ac:dyDescent="0.25">
      <c r="B15">
        <v>4</v>
      </c>
      <c r="C15" t="s">
        <v>166</v>
      </c>
      <c r="D15" t="s">
        <v>167</v>
      </c>
      <c r="E15" t="s">
        <v>168</v>
      </c>
    </row>
    <row r="16" spans="1:7" x14ac:dyDescent="0.25">
      <c r="B16">
        <v>5</v>
      </c>
      <c r="C16" t="s">
        <v>169</v>
      </c>
      <c r="D16" t="s">
        <v>170</v>
      </c>
      <c r="E16" t="s">
        <v>171</v>
      </c>
    </row>
    <row r="19" spans="2:8" x14ac:dyDescent="0.25">
      <c r="B19" s="6" t="s">
        <v>156</v>
      </c>
      <c r="C19" s="6" t="s">
        <v>155</v>
      </c>
      <c r="D19" s="6" t="s">
        <v>172</v>
      </c>
    </row>
    <row r="20" spans="2:8" x14ac:dyDescent="0.25">
      <c r="B20" s="7">
        <v>1</v>
      </c>
      <c r="C20" s="7">
        <v>1</v>
      </c>
      <c r="D20" s="7" t="str">
        <f>INDEX($C$12:$E$16,B20,C20)</f>
        <v>Stařec a Moře</v>
      </c>
    </row>
    <row r="21" spans="2:8" x14ac:dyDescent="0.25">
      <c r="H21" s="2"/>
    </row>
    <row r="22" spans="2:8" x14ac:dyDescent="0.25">
      <c r="E22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B1:L19"/>
  <sheetViews>
    <sheetView workbookViewId="0">
      <selection activeCell="C4" sqref="C4:C9"/>
    </sheetView>
  </sheetViews>
  <sheetFormatPr defaultRowHeight="15" x14ac:dyDescent="0.25"/>
  <cols>
    <col min="2" max="2" width="24.5703125" customWidth="1"/>
    <col min="3" max="3" width="24.140625" bestFit="1" customWidth="1"/>
    <col min="4" max="4" width="24.42578125" customWidth="1"/>
    <col min="5" max="6" width="14.28515625" customWidth="1"/>
    <col min="7" max="7" width="14.85546875" customWidth="1"/>
    <col min="8" max="10" width="12.5703125" customWidth="1"/>
    <col min="11" max="11" width="14.28515625" customWidth="1"/>
    <col min="12" max="12" width="12.5703125" customWidth="1"/>
  </cols>
  <sheetData>
    <row r="1" spans="2:12" x14ac:dyDescent="0.25">
      <c r="G1" s="4" t="s">
        <v>331</v>
      </c>
      <c r="H1" s="4" t="s">
        <v>332</v>
      </c>
    </row>
    <row r="3" spans="2:12" x14ac:dyDescent="0.25">
      <c r="B3" s="2" t="s">
        <v>130</v>
      </c>
      <c r="C3" s="2" t="s">
        <v>131</v>
      </c>
      <c r="D3" s="2" t="s">
        <v>132</v>
      </c>
      <c r="E3" s="20" t="s">
        <v>328</v>
      </c>
      <c r="F3" s="20" t="s">
        <v>329</v>
      </c>
      <c r="G3" s="2" t="s">
        <v>215</v>
      </c>
      <c r="H3" s="1" t="s">
        <v>0</v>
      </c>
      <c r="I3" s="1" t="s">
        <v>1</v>
      </c>
      <c r="J3" s="1" t="s">
        <v>2</v>
      </c>
      <c r="K3" s="1" t="s">
        <v>6</v>
      </c>
      <c r="L3" s="1" t="s">
        <v>4</v>
      </c>
    </row>
    <row r="4" spans="2:12" x14ac:dyDescent="0.25">
      <c r="B4" t="s">
        <v>135</v>
      </c>
      <c r="C4" t="s">
        <v>136</v>
      </c>
      <c r="D4" t="str">
        <f t="shared" ref="D4:D9" si="0">IFERROR(VLOOKUP(C4,$B$12:$D$19,2,0),"(!) Nenalezeno v seznamu")</f>
        <v>Jarní Dolomity</v>
      </c>
      <c r="G4" s="2" t="s">
        <v>216</v>
      </c>
      <c r="H4">
        <v>95</v>
      </c>
      <c r="I4">
        <v>49</v>
      </c>
      <c r="J4">
        <v>21</v>
      </c>
      <c r="K4">
        <v>56</v>
      </c>
      <c r="L4">
        <v>28</v>
      </c>
    </row>
    <row r="5" spans="2:12" x14ac:dyDescent="0.25">
      <c r="B5" t="s">
        <v>139</v>
      </c>
      <c r="C5" t="s">
        <v>140</v>
      </c>
      <c r="D5" t="str">
        <f t="shared" si="0"/>
        <v>Tři dny v Paříži</v>
      </c>
    </row>
    <row r="6" spans="2:12" x14ac:dyDescent="0.25">
      <c r="B6" t="s">
        <v>142</v>
      </c>
      <c r="C6" t="s">
        <v>330</v>
      </c>
      <c r="D6" t="str">
        <f t="shared" si="0"/>
        <v>(!) Nenalezeno v seznamu</v>
      </c>
    </row>
    <row r="7" spans="2:12" x14ac:dyDescent="0.25">
      <c r="B7" t="s">
        <v>145</v>
      </c>
      <c r="C7" t="s">
        <v>137</v>
      </c>
      <c r="D7" t="str">
        <f t="shared" si="0"/>
        <v>Velký okruh Španělskem</v>
      </c>
      <c r="I7" t="s">
        <v>216</v>
      </c>
    </row>
    <row r="8" spans="2:12" x14ac:dyDescent="0.25">
      <c r="B8" t="s">
        <v>147</v>
      </c>
      <c r="C8" t="s">
        <v>148</v>
      </c>
      <c r="D8" t="str">
        <f t="shared" si="0"/>
        <v>Na sever Laponska</v>
      </c>
      <c r="G8" t="s">
        <v>215</v>
      </c>
      <c r="H8" s="7" t="s">
        <v>6</v>
      </c>
      <c r="I8" s="7">
        <f>HLOOKUP(H8,H3:L4,2,0)</f>
        <v>56</v>
      </c>
    </row>
    <row r="9" spans="2:12" x14ac:dyDescent="0.25">
      <c r="B9" t="s">
        <v>150</v>
      </c>
      <c r="C9" t="s">
        <v>140</v>
      </c>
      <c r="D9" t="str">
        <f t="shared" si="0"/>
        <v>Tři dny v Paříži</v>
      </c>
    </row>
    <row r="12" spans="2:12" x14ac:dyDescent="0.25">
      <c r="B12" s="2" t="s">
        <v>133</v>
      </c>
      <c r="C12" s="2" t="s">
        <v>132</v>
      </c>
      <c r="D12" s="2" t="s">
        <v>134</v>
      </c>
    </row>
    <row r="13" spans="2:12" x14ac:dyDescent="0.25">
      <c r="B13" t="s">
        <v>137</v>
      </c>
      <c r="C13" t="s">
        <v>138</v>
      </c>
      <c r="D13">
        <v>17200</v>
      </c>
    </row>
    <row r="14" spans="2:12" x14ac:dyDescent="0.25">
      <c r="B14" t="s">
        <v>140</v>
      </c>
      <c r="C14" t="s">
        <v>141</v>
      </c>
      <c r="D14">
        <v>6200</v>
      </c>
    </row>
    <row r="15" spans="2:12" x14ac:dyDescent="0.25">
      <c r="B15" t="s">
        <v>143</v>
      </c>
      <c r="C15" t="s">
        <v>144</v>
      </c>
      <c r="D15">
        <v>13500</v>
      </c>
    </row>
    <row r="16" spans="2:12" x14ac:dyDescent="0.25">
      <c r="B16" t="s">
        <v>136</v>
      </c>
      <c r="C16" t="s">
        <v>146</v>
      </c>
      <c r="D16">
        <v>6800</v>
      </c>
    </row>
    <row r="17" spans="2:4" x14ac:dyDescent="0.25">
      <c r="B17" t="s">
        <v>148</v>
      </c>
      <c r="C17" t="s">
        <v>149</v>
      </c>
      <c r="D17">
        <v>26300</v>
      </c>
    </row>
    <row r="18" spans="2:4" x14ac:dyDescent="0.25">
      <c r="B18" t="s">
        <v>151</v>
      </c>
      <c r="C18" t="s">
        <v>152</v>
      </c>
      <c r="D18">
        <v>22000</v>
      </c>
    </row>
    <row r="19" spans="2:4" x14ac:dyDescent="0.25">
      <c r="B19" t="s">
        <v>153</v>
      </c>
      <c r="C19" t="s">
        <v>154</v>
      </c>
      <c r="D19">
        <v>16500</v>
      </c>
    </row>
  </sheetData>
  <conditionalFormatting sqref="H4:L4">
    <cfRule type="expression" priority="2">
      <formula>$J4&gt;400</formula>
    </cfRule>
  </conditionalFormatting>
  <conditionalFormatting sqref="H4:L4">
    <cfRule type="expression" dxfId="0" priority="1">
      <formula>$J4&gt;400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B2:N32"/>
  <sheetViews>
    <sheetView topLeftCell="C18" workbookViewId="0">
      <selection activeCell="N40" sqref="N40"/>
    </sheetView>
  </sheetViews>
  <sheetFormatPr defaultRowHeight="15" x14ac:dyDescent="0.25"/>
  <cols>
    <col min="2" max="2" width="19.5703125" customWidth="1"/>
    <col min="4" max="4" width="13.7109375" customWidth="1"/>
    <col min="7" max="7" width="31.42578125" customWidth="1"/>
    <col min="8" max="8" width="17.85546875" customWidth="1"/>
    <col min="9" max="9" width="14.7109375" customWidth="1"/>
    <col min="11" max="11" width="25.85546875" customWidth="1"/>
    <col min="12" max="12" width="11.85546875" bestFit="1" customWidth="1"/>
  </cols>
  <sheetData>
    <row r="2" spans="2:14" x14ac:dyDescent="0.25">
      <c r="B2" s="2" t="s">
        <v>173</v>
      </c>
      <c r="G2" s="2" t="s">
        <v>177</v>
      </c>
      <c r="H2" s="4" t="s">
        <v>336</v>
      </c>
    </row>
    <row r="3" spans="2:14" x14ac:dyDescent="0.25">
      <c r="C3" s="7">
        <f ca="1">RANDBETWEEN(1,6)</f>
        <v>5</v>
      </c>
      <c r="D3" s="4" t="s">
        <v>334</v>
      </c>
      <c r="H3" s="4" t="s">
        <v>337</v>
      </c>
    </row>
    <row r="4" spans="2:14" x14ac:dyDescent="0.25">
      <c r="B4" s="2" t="s">
        <v>174</v>
      </c>
      <c r="C4">
        <f ca="1">INT(RAND()*6)+1</f>
        <v>6</v>
      </c>
      <c r="D4" s="4" t="s">
        <v>335</v>
      </c>
      <c r="E4" s="4" t="s">
        <v>333</v>
      </c>
    </row>
    <row r="5" spans="2:14" x14ac:dyDescent="0.25">
      <c r="G5" s="2" t="s">
        <v>132</v>
      </c>
      <c r="H5" s="2" t="s">
        <v>134</v>
      </c>
      <c r="I5" s="2" t="s">
        <v>178</v>
      </c>
      <c r="K5" s="2" t="s">
        <v>340</v>
      </c>
      <c r="L5" s="2"/>
    </row>
    <row r="6" spans="2:14" x14ac:dyDescent="0.25">
      <c r="B6" s="2" t="s">
        <v>175</v>
      </c>
      <c r="G6" t="s">
        <v>138</v>
      </c>
      <c r="H6" s="23">
        <v>17200</v>
      </c>
      <c r="I6">
        <v>1</v>
      </c>
      <c r="K6" s="2" t="s">
        <v>98</v>
      </c>
      <c r="L6" s="2" t="s">
        <v>99</v>
      </c>
    </row>
    <row r="7" spans="2:14" x14ac:dyDescent="0.25">
      <c r="B7" s="7" t="str">
        <f ca="1">INDEX(B10:B15,C3)</f>
        <v>Kašpar Oldřich</v>
      </c>
      <c r="G7" t="s">
        <v>141</v>
      </c>
      <c r="H7" s="23">
        <v>6200</v>
      </c>
      <c r="I7">
        <v>20</v>
      </c>
      <c r="K7" t="s">
        <v>15</v>
      </c>
      <c r="L7">
        <v>20</v>
      </c>
    </row>
    <row r="8" spans="2:14" x14ac:dyDescent="0.25">
      <c r="G8" t="s">
        <v>144</v>
      </c>
      <c r="H8" s="23">
        <v>13500</v>
      </c>
      <c r="I8">
        <v>3</v>
      </c>
      <c r="K8" t="s">
        <v>100</v>
      </c>
      <c r="L8">
        <v>50</v>
      </c>
    </row>
    <row r="9" spans="2:14" x14ac:dyDescent="0.25">
      <c r="B9" s="2" t="s">
        <v>130</v>
      </c>
      <c r="G9" t="s">
        <v>146</v>
      </c>
      <c r="H9" s="23">
        <v>6800</v>
      </c>
      <c r="I9">
        <v>5</v>
      </c>
      <c r="K9" t="s">
        <v>101</v>
      </c>
    </row>
    <row r="10" spans="2:14" x14ac:dyDescent="0.25">
      <c r="B10" t="s">
        <v>135</v>
      </c>
      <c r="G10" t="s">
        <v>149</v>
      </c>
      <c r="H10" s="23">
        <v>26300</v>
      </c>
      <c r="I10">
        <v>10</v>
      </c>
      <c r="K10" t="s">
        <v>8</v>
      </c>
      <c r="L10">
        <v>99</v>
      </c>
    </row>
    <row r="11" spans="2:14" x14ac:dyDescent="0.25">
      <c r="B11" t="s">
        <v>139</v>
      </c>
      <c r="G11" t="s">
        <v>152</v>
      </c>
      <c r="H11" s="23">
        <v>22000</v>
      </c>
      <c r="I11">
        <v>20</v>
      </c>
      <c r="K11" t="s">
        <v>9</v>
      </c>
      <c r="L11">
        <v>28</v>
      </c>
    </row>
    <row r="12" spans="2:14" x14ac:dyDescent="0.25">
      <c r="B12" t="s">
        <v>142</v>
      </c>
      <c r="G12" t="s">
        <v>154</v>
      </c>
      <c r="H12" s="23">
        <v>16500</v>
      </c>
      <c r="I12">
        <v>12</v>
      </c>
      <c r="K12" t="s">
        <v>10</v>
      </c>
      <c r="L12">
        <v>75</v>
      </c>
    </row>
    <row r="13" spans="2:14" x14ac:dyDescent="0.25">
      <c r="B13" t="s">
        <v>145</v>
      </c>
    </row>
    <row r="14" spans="2:14" x14ac:dyDescent="0.25">
      <c r="B14" t="s">
        <v>147</v>
      </c>
      <c r="K14" t="s">
        <v>338</v>
      </c>
      <c r="L14">
        <f>COUNTBLANK(L7:L12)</f>
        <v>1</v>
      </c>
      <c r="M14" s="4" t="s">
        <v>341</v>
      </c>
    </row>
    <row r="15" spans="2:14" x14ac:dyDescent="0.25">
      <c r="B15" t="s">
        <v>150</v>
      </c>
      <c r="G15" s="2" t="s">
        <v>179</v>
      </c>
      <c r="H15" s="23">
        <f>SUMPRODUCT(H6:H12,I6:I12)</f>
        <v>1116700</v>
      </c>
      <c r="K15" t="s">
        <v>339</v>
      </c>
      <c r="L15">
        <f>COUNTA(L7:L12)</f>
        <v>5</v>
      </c>
      <c r="M15" s="4" t="s">
        <v>342</v>
      </c>
      <c r="N15" s="4" t="s">
        <v>243</v>
      </c>
    </row>
    <row r="16" spans="2:14" x14ac:dyDescent="0.25">
      <c r="M16" s="4" t="s">
        <v>343</v>
      </c>
      <c r="N16" s="4" t="s">
        <v>344</v>
      </c>
    </row>
    <row r="18" spans="2:14" x14ac:dyDescent="0.25">
      <c r="B18" s="2" t="s">
        <v>98</v>
      </c>
      <c r="C18" s="2" t="s">
        <v>176</v>
      </c>
      <c r="G18" s="2" t="s">
        <v>186</v>
      </c>
    </row>
    <row r="19" spans="2:14" x14ac:dyDescent="0.25">
      <c r="B19" t="s">
        <v>8</v>
      </c>
      <c r="C19">
        <v>1</v>
      </c>
      <c r="G19" t="s">
        <v>184</v>
      </c>
      <c r="H19" s="24">
        <f>MAX(H6:H12)</f>
        <v>26300</v>
      </c>
      <c r="I19" s="4" t="s">
        <v>345</v>
      </c>
      <c r="K19" s="2" t="s">
        <v>217</v>
      </c>
      <c r="L19">
        <v>11</v>
      </c>
    </row>
    <row r="20" spans="2:14" x14ac:dyDescent="0.25">
      <c r="B20" t="s">
        <v>9</v>
      </c>
      <c r="C20">
        <v>7</v>
      </c>
      <c r="G20" t="s">
        <v>185</v>
      </c>
      <c r="H20" s="24">
        <f>MIN(H6:H12)</f>
        <v>6200</v>
      </c>
      <c r="I20" s="4" t="s">
        <v>346</v>
      </c>
      <c r="K20" t="str">
        <f>"Prodeje za prvních "&amp;L19&amp;" Měsíců"</f>
        <v>Prodeje za prvních 11 Měsíců</v>
      </c>
      <c r="L20">
        <f ca="1">SUM(OFFSET(L23,0,0,L19,1))</f>
        <v>490</v>
      </c>
      <c r="M20" s="4" t="s">
        <v>347</v>
      </c>
      <c r="N20" s="4" t="s">
        <v>348</v>
      </c>
    </row>
    <row r="21" spans="2:14" x14ac:dyDescent="0.25">
      <c r="B21" t="s">
        <v>10</v>
      </c>
      <c r="C21">
        <v>3</v>
      </c>
    </row>
    <row r="22" spans="2:14" x14ac:dyDescent="0.25">
      <c r="B22" t="s">
        <v>11</v>
      </c>
      <c r="C22">
        <v>6</v>
      </c>
      <c r="L22" s="2" t="s">
        <v>349</v>
      </c>
      <c r="M22" s="2" t="s">
        <v>350</v>
      </c>
    </row>
    <row r="23" spans="2:14" x14ac:dyDescent="0.25">
      <c r="B23" t="s">
        <v>12</v>
      </c>
      <c r="C23">
        <v>10</v>
      </c>
      <c r="K23" t="s">
        <v>200</v>
      </c>
      <c r="L23">
        <v>5</v>
      </c>
      <c r="M23">
        <f>SUM($L$23:L23)</f>
        <v>5</v>
      </c>
    </row>
    <row r="24" spans="2:14" x14ac:dyDescent="0.25">
      <c r="B24" t="s">
        <v>13</v>
      </c>
      <c r="C24">
        <v>8</v>
      </c>
      <c r="G24" s="2" t="s">
        <v>180</v>
      </c>
      <c r="K24" t="s">
        <v>201</v>
      </c>
      <c r="L24">
        <v>40</v>
      </c>
      <c r="M24">
        <f>SUM($L$23:L24)</f>
        <v>45</v>
      </c>
    </row>
    <row r="25" spans="2:14" x14ac:dyDescent="0.25">
      <c r="B25" t="s">
        <v>14</v>
      </c>
      <c r="C25">
        <v>5</v>
      </c>
      <c r="K25" t="s">
        <v>202</v>
      </c>
      <c r="L25">
        <v>50</v>
      </c>
      <c r="M25">
        <f>SUM($L$23:L25)</f>
        <v>95</v>
      </c>
    </row>
    <row r="26" spans="2:14" x14ac:dyDescent="0.25">
      <c r="B26" t="s">
        <v>15</v>
      </c>
      <c r="C26">
        <v>2</v>
      </c>
      <c r="G26" s="1" t="s">
        <v>182</v>
      </c>
      <c r="H26" s="8">
        <v>15000</v>
      </c>
      <c r="K26" t="s">
        <v>203</v>
      </c>
      <c r="L26">
        <v>13</v>
      </c>
      <c r="M26">
        <f>SUM($L$23:L26)</f>
        <v>108</v>
      </c>
    </row>
    <row r="27" spans="2:14" x14ac:dyDescent="0.25">
      <c r="B27" t="s">
        <v>16</v>
      </c>
      <c r="C27">
        <v>9</v>
      </c>
      <c r="G27" t="s">
        <v>181</v>
      </c>
      <c r="H27">
        <v>0</v>
      </c>
      <c r="K27" t="s">
        <v>204</v>
      </c>
      <c r="L27">
        <v>12</v>
      </c>
      <c r="M27">
        <f>SUM($L$23:L27)</f>
        <v>120</v>
      </c>
    </row>
    <row r="28" spans="2:14" x14ac:dyDescent="0.25">
      <c r="B28" t="s">
        <v>17</v>
      </c>
      <c r="C28">
        <v>4</v>
      </c>
      <c r="K28" t="s">
        <v>205</v>
      </c>
      <c r="L28">
        <v>50</v>
      </c>
      <c r="M28">
        <f>SUM($L$23:L28)</f>
        <v>170</v>
      </c>
    </row>
    <row r="29" spans="2:14" x14ac:dyDescent="0.25">
      <c r="G29" t="s">
        <v>183</v>
      </c>
      <c r="H29" s="24">
        <f>IFERROR(H26/H27,0)</f>
        <v>0</v>
      </c>
      <c r="K29" t="s">
        <v>206</v>
      </c>
      <c r="L29">
        <v>60</v>
      </c>
      <c r="M29">
        <f>SUM($L$23:L29)</f>
        <v>230</v>
      </c>
    </row>
    <row r="30" spans="2:14" x14ac:dyDescent="0.25">
      <c r="K30" t="s">
        <v>207</v>
      </c>
      <c r="L30">
        <v>70</v>
      </c>
      <c r="M30">
        <f>SUM($L$23:L30)</f>
        <v>300</v>
      </c>
    </row>
    <row r="31" spans="2:14" x14ac:dyDescent="0.25">
      <c r="G31" s="2"/>
      <c r="K31" t="s">
        <v>208</v>
      </c>
      <c r="L31">
        <v>90</v>
      </c>
      <c r="M31">
        <f>SUM($L$23:L31)</f>
        <v>390</v>
      </c>
    </row>
    <row r="32" spans="2:14" x14ac:dyDescent="0.25">
      <c r="K32" t="s">
        <v>209</v>
      </c>
      <c r="L32">
        <v>100</v>
      </c>
      <c r="M32">
        <f>SUM($L$23:L32)</f>
        <v>490</v>
      </c>
    </row>
  </sheetData>
  <sortState ref="C31:D40">
    <sortCondition ref="D35"/>
  </sortState>
  <pageMargins left="0.7" right="0.7" top="0.75" bottom="0.75" header="0.3" footer="0.3"/>
  <ignoredErrors>
    <ignoredError sqref="M24:M3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B3:C11"/>
  <sheetViews>
    <sheetView workbookViewId="0">
      <selection activeCell="E10" sqref="E10"/>
    </sheetView>
  </sheetViews>
  <sheetFormatPr defaultRowHeight="15" x14ac:dyDescent="0.25"/>
  <cols>
    <col min="2" max="2" width="17.85546875" customWidth="1"/>
    <col min="3" max="3" width="26.85546875" customWidth="1"/>
  </cols>
  <sheetData>
    <row r="3" spans="2:3" x14ac:dyDescent="0.25">
      <c r="C3" s="2" t="s">
        <v>213</v>
      </c>
    </row>
    <row r="4" spans="2:3" x14ac:dyDescent="0.25">
      <c r="B4" s="2" t="s">
        <v>8</v>
      </c>
      <c r="C4">
        <f>SUM(Praha:Rumburk!D5)</f>
        <v>323</v>
      </c>
    </row>
    <row r="5" spans="2:3" x14ac:dyDescent="0.25">
      <c r="B5" s="2" t="s">
        <v>9</v>
      </c>
      <c r="C5">
        <f>SUM(Praha:Rumburk!D6)</f>
        <v>128</v>
      </c>
    </row>
    <row r="6" spans="2:3" x14ac:dyDescent="0.25">
      <c r="B6" s="2" t="s">
        <v>10</v>
      </c>
      <c r="C6">
        <f>SUM(Praha:Rumburk!D7)</f>
        <v>307</v>
      </c>
    </row>
    <row r="7" spans="2:3" x14ac:dyDescent="0.25">
      <c r="B7" s="2" t="s">
        <v>11</v>
      </c>
      <c r="C7">
        <f>SUM(Praha:Rumburk!D8)</f>
        <v>260</v>
      </c>
    </row>
    <row r="8" spans="2:3" x14ac:dyDescent="0.25">
      <c r="B8" s="2" t="s">
        <v>12</v>
      </c>
      <c r="C8">
        <f>SUM(Praha:Rumburk!D9)</f>
        <v>361</v>
      </c>
    </row>
    <row r="9" spans="2:3" x14ac:dyDescent="0.25">
      <c r="B9" s="2"/>
    </row>
    <row r="11" spans="2:3" x14ac:dyDescent="0.25">
      <c r="B11" s="2" t="s">
        <v>214</v>
      </c>
      <c r="C11" s="2">
        <f>SUM(C4:C8)</f>
        <v>1379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B1:Q12"/>
  <sheetViews>
    <sheetView workbookViewId="0">
      <selection activeCell="C12" sqref="C12"/>
    </sheetView>
  </sheetViews>
  <sheetFormatPr defaultRowHeight="15" x14ac:dyDescent="0.25"/>
  <cols>
    <col min="1" max="1" width="1.7109375" customWidth="1"/>
    <col min="3" max="3" width="17" customWidth="1"/>
  </cols>
  <sheetData>
    <row r="1" spans="2:17" x14ac:dyDescent="0.25">
      <c r="C1" s="2" t="s">
        <v>19</v>
      </c>
    </row>
    <row r="3" spans="2:17" ht="20.25" customHeight="1" x14ac:dyDescent="0.25">
      <c r="C3" s="2" t="s">
        <v>199</v>
      </c>
    </row>
    <row r="4" spans="2:17" ht="30" customHeight="1" x14ac:dyDescent="0.25">
      <c r="B4" s="26"/>
      <c r="C4" s="26"/>
      <c r="D4" s="26" t="s">
        <v>200</v>
      </c>
      <c r="E4" s="26" t="s">
        <v>201</v>
      </c>
      <c r="F4" s="26" t="s">
        <v>202</v>
      </c>
      <c r="G4" s="26" t="s">
        <v>203</v>
      </c>
      <c r="H4" s="26" t="s">
        <v>204</v>
      </c>
      <c r="I4" s="26" t="s">
        <v>205</v>
      </c>
      <c r="J4" s="26" t="s">
        <v>206</v>
      </c>
      <c r="K4" s="26" t="s">
        <v>207</v>
      </c>
      <c r="L4" s="26" t="s">
        <v>208</v>
      </c>
      <c r="M4" s="26" t="s">
        <v>209</v>
      </c>
      <c r="N4" s="26" t="s">
        <v>210</v>
      </c>
      <c r="O4" s="26" t="s">
        <v>211</v>
      </c>
      <c r="P4" s="25" t="s">
        <v>46</v>
      </c>
      <c r="Q4" s="26"/>
    </row>
    <row r="5" spans="2:17" x14ac:dyDescent="0.25">
      <c r="B5" s="26"/>
      <c r="C5" s="36" t="s">
        <v>8</v>
      </c>
      <c r="D5" s="28">
        <v>167</v>
      </c>
      <c r="E5" s="29">
        <v>84</v>
      </c>
      <c r="F5" s="29">
        <v>29</v>
      </c>
      <c r="G5" s="29">
        <v>151</v>
      </c>
      <c r="H5" s="29">
        <v>92</v>
      </c>
      <c r="I5" s="29">
        <v>43</v>
      </c>
      <c r="J5" s="29">
        <v>160</v>
      </c>
      <c r="K5" s="29">
        <v>113</v>
      </c>
      <c r="L5" s="29">
        <v>144</v>
      </c>
      <c r="M5" s="29">
        <v>2</v>
      </c>
      <c r="N5" s="29">
        <v>182</v>
      </c>
      <c r="O5" s="30">
        <v>92</v>
      </c>
      <c r="P5" s="25">
        <f>SUM(D5:O5)</f>
        <v>1259</v>
      </c>
      <c r="Q5" s="26"/>
    </row>
    <row r="6" spans="2:17" x14ac:dyDescent="0.25">
      <c r="B6" s="26"/>
      <c r="C6" s="36" t="s">
        <v>9</v>
      </c>
      <c r="D6" s="31">
        <v>34</v>
      </c>
      <c r="E6" s="26">
        <v>30</v>
      </c>
      <c r="F6" s="26">
        <v>27</v>
      </c>
      <c r="G6" s="26">
        <v>46</v>
      </c>
      <c r="H6" s="26">
        <v>84</v>
      </c>
      <c r="I6" s="26">
        <v>73</v>
      </c>
      <c r="J6" s="26">
        <v>103</v>
      </c>
      <c r="K6" s="26">
        <v>148</v>
      </c>
      <c r="L6" s="26">
        <v>44</v>
      </c>
      <c r="M6" s="26">
        <v>110</v>
      </c>
      <c r="N6" s="26">
        <v>66</v>
      </c>
      <c r="O6" s="32">
        <v>22</v>
      </c>
      <c r="P6" s="25">
        <f>SUM(D6:O6)</f>
        <v>787</v>
      </c>
      <c r="Q6" s="26"/>
    </row>
    <row r="7" spans="2:17" x14ac:dyDescent="0.25">
      <c r="B7" s="26"/>
      <c r="C7" s="36" t="s">
        <v>10</v>
      </c>
      <c r="D7" s="31">
        <v>185</v>
      </c>
      <c r="E7" s="26">
        <v>167</v>
      </c>
      <c r="F7" s="26">
        <v>174</v>
      </c>
      <c r="G7" s="26">
        <v>158</v>
      </c>
      <c r="H7" s="26">
        <v>85</v>
      </c>
      <c r="I7" s="26">
        <v>46</v>
      </c>
      <c r="J7" s="26">
        <v>122</v>
      </c>
      <c r="K7" s="26">
        <v>51</v>
      </c>
      <c r="L7" s="26">
        <v>7</v>
      </c>
      <c r="M7" s="26">
        <v>106</v>
      </c>
      <c r="N7" s="26">
        <v>48</v>
      </c>
      <c r="O7" s="32">
        <v>92</v>
      </c>
      <c r="P7" s="25">
        <f>SUM(D7:O7)</f>
        <v>1241</v>
      </c>
      <c r="Q7" s="26"/>
    </row>
    <row r="8" spans="2:17" x14ac:dyDescent="0.25">
      <c r="B8" s="26"/>
      <c r="C8" s="36" t="s">
        <v>11</v>
      </c>
      <c r="D8" s="31">
        <v>139</v>
      </c>
      <c r="E8" s="26">
        <v>12</v>
      </c>
      <c r="F8" s="26">
        <v>127</v>
      </c>
      <c r="G8" s="26">
        <v>23</v>
      </c>
      <c r="H8" s="26">
        <v>168</v>
      </c>
      <c r="I8" s="26">
        <v>120</v>
      </c>
      <c r="J8" s="26">
        <v>61</v>
      </c>
      <c r="K8" s="26">
        <v>118</v>
      </c>
      <c r="L8" s="26">
        <v>150</v>
      </c>
      <c r="M8" s="26">
        <v>152</v>
      </c>
      <c r="N8" s="26">
        <v>71</v>
      </c>
      <c r="O8" s="32">
        <v>82</v>
      </c>
      <c r="P8" s="25">
        <f>SUM(D8:O8)</f>
        <v>1223</v>
      </c>
      <c r="Q8" s="26"/>
    </row>
    <row r="9" spans="2:17" x14ac:dyDescent="0.25">
      <c r="B9" s="26"/>
      <c r="C9" s="36" t="s">
        <v>12</v>
      </c>
      <c r="D9" s="33">
        <v>177</v>
      </c>
      <c r="E9" s="34">
        <v>199</v>
      </c>
      <c r="F9" s="34">
        <v>87</v>
      </c>
      <c r="G9" s="34">
        <v>131</v>
      </c>
      <c r="H9" s="34">
        <v>146</v>
      </c>
      <c r="I9" s="34">
        <v>40</v>
      </c>
      <c r="J9" s="34">
        <v>169</v>
      </c>
      <c r="K9" s="34">
        <v>0</v>
      </c>
      <c r="L9" s="34">
        <v>122</v>
      </c>
      <c r="M9" s="34">
        <v>164</v>
      </c>
      <c r="N9" s="34">
        <v>146</v>
      </c>
      <c r="O9" s="35">
        <v>110</v>
      </c>
      <c r="P9" s="25">
        <f>SUM(D9:O9)</f>
        <v>1491</v>
      </c>
      <c r="Q9" s="26"/>
    </row>
    <row r="10" spans="2:17" ht="18" customHeight="1" x14ac:dyDescent="0.25">
      <c r="B10" s="26"/>
      <c r="C10" s="25" t="s">
        <v>212</v>
      </c>
      <c r="D10" s="25">
        <f>SUM(D5:D9)</f>
        <v>702</v>
      </c>
      <c r="E10" s="25">
        <f t="shared" ref="E10:O10" si="0">SUM(E5:E9)</f>
        <v>492</v>
      </c>
      <c r="F10" s="25">
        <f t="shared" si="0"/>
        <v>444</v>
      </c>
      <c r="G10" s="25">
        <f t="shared" si="0"/>
        <v>509</v>
      </c>
      <c r="H10" s="25">
        <f t="shared" si="0"/>
        <v>575</v>
      </c>
      <c r="I10" s="25">
        <f t="shared" si="0"/>
        <v>322</v>
      </c>
      <c r="J10" s="25">
        <f t="shared" si="0"/>
        <v>615</v>
      </c>
      <c r="K10" s="25">
        <f t="shared" si="0"/>
        <v>430</v>
      </c>
      <c r="L10" s="25">
        <f t="shared" si="0"/>
        <v>467</v>
      </c>
      <c r="M10" s="25">
        <f t="shared" si="0"/>
        <v>534</v>
      </c>
      <c r="N10" s="25">
        <f t="shared" si="0"/>
        <v>513</v>
      </c>
      <c r="O10" s="25">
        <f t="shared" si="0"/>
        <v>398</v>
      </c>
      <c r="P10" s="25"/>
      <c r="Q10" s="26"/>
    </row>
    <row r="11" spans="2:17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B1:Q12"/>
  <sheetViews>
    <sheetView workbookViewId="0">
      <selection activeCell="C12" sqref="C12"/>
    </sheetView>
  </sheetViews>
  <sheetFormatPr defaultRowHeight="15" x14ac:dyDescent="0.25"/>
  <cols>
    <col min="1" max="1" width="1.7109375" customWidth="1"/>
    <col min="3" max="3" width="17" customWidth="1"/>
  </cols>
  <sheetData>
    <row r="1" spans="2:17" x14ac:dyDescent="0.25">
      <c r="C1" s="11" t="s">
        <v>19</v>
      </c>
    </row>
    <row r="3" spans="2:17" ht="20.25" customHeight="1" x14ac:dyDescent="0.25">
      <c r="C3" s="11" t="s">
        <v>199</v>
      </c>
    </row>
    <row r="4" spans="2:17" ht="30" customHeight="1" x14ac:dyDescent="0.25">
      <c r="B4" s="26"/>
      <c r="C4" s="26"/>
      <c r="D4" s="27" t="s">
        <v>200</v>
      </c>
      <c r="E4" s="27" t="s">
        <v>201</v>
      </c>
      <c r="F4" s="27" t="s">
        <v>202</v>
      </c>
      <c r="G4" s="27" t="s">
        <v>203</v>
      </c>
      <c r="H4" s="27" t="s">
        <v>204</v>
      </c>
      <c r="I4" s="27" t="s">
        <v>205</v>
      </c>
      <c r="J4" s="27" t="s">
        <v>206</v>
      </c>
      <c r="K4" s="27" t="s">
        <v>207</v>
      </c>
      <c r="L4" s="27" t="s">
        <v>208</v>
      </c>
      <c r="M4" s="27" t="s">
        <v>209</v>
      </c>
      <c r="N4" s="27" t="s">
        <v>210</v>
      </c>
      <c r="O4" s="27" t="s">
        <v>211</v>
      </c>
      <c r="P4" s="37" t="s">
        <v>46</v>
      </c>
      <c r="Q4" s="26"/>
    </row>
    <row r="5" spans="2:17" x14ac:dyDescent="0.25">
      <c r="B5" s="26"/>
      <c r="C5" s="36" t="s">
        <v>8</v>
      </c>
      <c r="D5" s="28">
        <v>86</v>
      </c>
      <c r="E5" s="29">
        <v>56</v>
      </c>
      <c r="F5" s="29">
        <v>7</v>
      </c>
      <c r="G5" s="29">
        <v>2</v>
      </c>
      <c r="H5" s="29">
        <v>52</v>
      </c>
      <c r="I5" s="29">
        <v>31</v>
      </c>
      <c r="J5" s="29">
        <v>6</v>
      </c>
      <c r="K5" s="29">
        <v>61</v>
      </c>
      <c r="L5" s="29">
        <v>59</v>
      </c>
      <c r="M5" s="29">
        <v>43</v>
      </c>
      <c r="N5" s="29">
        <v>22</v>
      </c>
      <c r="O5" s="30">
        <v>69</v>
      </c>
      <c r="P5" s="37">
        <f>SUM(D5:O5)</f>
        <v>494</v>
      </c>
      <c r="Q5" s="26"/>
    </row>
    <row r="6" spans="2:17" x14ac:dyDescent="0.25">
      <c r="B6" s="26"/>
      <c r="C6" s="36" t="s">
        <v>9</v>
      </c>
      <c r="D6" s="31">
        <v>74</v>
      </c>
      <c r="E6" s="26">
        <v>11</v>
      </c>
      <c r="F6" s="26">
        <v>60</v>
      </c>
      <c r="G6" s="26">
        <v>15</v>
      </c>
      <c r="H6" s="26">
        <v>20</v>
      </c>
      <c r="I6" s="26">
        <v>30</v>
      </c>
      <c r="J6" s="26">
        <v>6</v>
      </c>
      <c r="K6" s="26">
        <v>64</v>
      </c>
      <c r="L6" s="26">
        <v>6</v>
      </c>
      <c r="M6" s="26">
        <v>98</v>
      </c>
      <c r="N6" s="26">
        <v>41</v>
      </c>
      <c r="O6" s="32">
        <v>85</v>
      </c>
      <c r="P6" s="37">
        <f>SUM(D6:O6)</f>
        <v>510</v>
      </c>
      <c r="Q6" s="26"/>
    </row>
    <row r="7" spans="2:17" x14ac:dyDescent="0.25">
      <c r="B7" s="26"/>
      <c r="C7" s="36" t="s">
        <v>10</v>
      </c>
      <c r="D7" s="31">
        <v>46</v>
      </c>
      <c r="E7" s="26">
        <v>81</v>
      </c>
      <c r="F7" s="26">
        <v>78</v>
      </c>
      <c r="G7" s="26">
        <v>2</v>
      </c>
      <c r="H7" s="26">
        <v>38</v>
      </c>
      <c r="I7" s="26">
        <v>34</v>
      </c>
      <c r="J7" s="26">
        <v>14</v>
      </c>
      <c r="K7" s="26">
        <v>72</v>
      </c>
      <c r="L7" s="26">
        <v>73</v>
      </c>
      <c r="M7" s="26">
        <v>98</v>
      </c>
      <c r="N7" s="26">
        <v>29</v>
      </c>
      <c r="O7" s="32">
        <v>64</v>
      </c>
      <c r="P7" s="37">
        <f>SUM(D7:O7)</f>
        <v>629</v>
      </c>
      <c r="Q7" s="26"/>
    </row>
    <row r="8" spans="2:17" x14ac:dyDescent="0.25">
      <c r="B8" s="26"/>
      <c r="C8" s="36" t="s">
        <v>11</v>
      </c>
      <c r="D8" s="31">
        <v>66</v>
      </c>
      <c r="E8" s="26">
        <v>39</v>
      </c>
      <c r="F8" s="26">
        <v>54</v>
      </c>
      <c r="G8" s="26">
        <v>38</v>
      </c>
      <c r="H8" s="26">
        <v>2</v>
      </c>
      <c r="I8" s="26">
        <v>96</v>
      </c>
      <c r="J8" s="26">
        <v>48</v>
      </c>
      <c r="K8" s="26">
        <v>19</v>
      </c>
      <c r="L8" s="26">
        <v>76</v>
      </c>
      <c r="M8" s="26">
        <v>52</v>
      </c>
      <c r="N8" s="26">
        <v>31</v>
      </c>
      <c r="O8" s="32">
        <v>84</v>
      </c>
      <c r="P8" s="37">
        <f>SUM(D8:O8)</f>
        <v>605</v>
      </c>
      <c r="Q8" s="26"/>
    </row>
    <row r="9" spans="2:17" x14ac:dyDescent="0.25">
      <c r="B9" s="26"/>
      <c r="C9" s="36" t="s">
        <v>12</v>
      </c>
      <c r="D9" s="33">
        <v>98</v>
      </c>
      <c r="E9" s="34">
        <v>68</v>
      </c>
      <c r="F9" s="34">
        <v>34</v>
      </c>
      <c r="G9" s="34">
        <v>64</v>
      </c>
      <c r="H9" s="34">
        <v>28</v>
      </c>
      <c r="I9" s="34">
        <v>18</v>
      </c>
      <c r="J9" s="34">
        <v>10</v>
      </c>
      <c r="K9" s="34">
        <v>61</v>
      </c>
      <c r="L9" s="34">
        <v>84</v>
      </c>
      <c r="M9" s="34">
        <v>78</v>
      </c>
      <c r="N9" s="34">
        <v>39</v>
      </c>
      <c r="O9" s="35">
        <v>8</v>
      </c>
      <c r="P9" s="37">
        <f>SUM(D9:O9)</f>
        <v>590</v>
      </c>
      <c r="Q9" s="26"/>
    </row>
    <row r="10" spans="2:17" ht="18" customHeight="1" x14ac:dyDescent="0.25">
      <c r="B10" s="26"/>
      <c r="C10" s="37" t="s">
        <v>212</v>
      </c>
      <c r="D10" s="25">
        <f>SUM(D5:D9)</f>
        <v>370</v>
      </c>
      <c r="E10" s="25">
        <f t="shared" ref="E10:O10" si="0">SUM(E5:E9)</f>
        <v>255</v>
      </c>
      <c r="F10" s="25">
        <f t="shared" si="0"/>
        <v>233</v>
      </c>
      <c r="G10" s="25">
        <f t="shared" si="0"/>
        <v>121</v>
      </c>
      <c r="H10" s="25">
        <f t="shared" si="0"/>
        <v>140</v>
      </c>
      <c r="I10" s="25">
        <f t="shared" si="0"/>
        <v>209</v>
      </c>
      <c r="J10" s="25">
        <f t="shared" si="0"/>
        <v>84</v>
      </c>
      <c r="K10" s="25">
        <f t="shared" si="0"/>
        <v>277</v>
      </c>
      <c r="L10" s="25">
        <f t="shared" si="0"/>
        <v>298</v>
      </c>
      <c r="M10" s="25">
        <f t="shared" si="0"/>
        <v>369</v>
      </c>
      <c r="N10" s="25">
        <f t="shared" si="0"/>
        <v>162</v>
      </c>
      <c r="O10" s="25">
        <f t="shared" si="0"/>
        <v>310</v>
      </c>
      <c r="P10" s="25"/>
      <c r="Q10" s="26"/>
    </row>
    <row r="11" spans="2:17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x14ac:dyDescent="0.25">
      <c r="B12" s="26"/>
      <c r="C12" s="2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B1:Q12"/>
  <sheetViews>
    <sheetView workbookViewId="0">
      <selection activeCell="C12" sqref="C12"/>
    </sheetView>
  </sheetViews>
  <sheetFormatPr defaultRowHeight="15" x14ac:dyDescent="0.25"/>
  <cols>
    <col min="1" max="1" width="1.7109375" customWidth="1"/>
    <col min="3" max="3" width="17" customWidth="1"/>
  </cols>
  <sheetData>
    <row r="1" spans="2:17" x14ac:dyDescent="0.25">
      <c r="C1" s="11" t="s">
        <v>19</v>
      </c>
    </row>
    <row r="3" spans="2:17" ht="20.25" customHeight="1" x14ac:dyDescent="0.25">
      <c r="C3" s="11" t="s">
        <v>199</v>
      </c>
    </row>
    <row r="4" spans="2:17" ht="30" customHeight="1" x14ac:dyDescent="0.25">
      <c r="B4" s="26"/>
      <c r="C4" s="26"/>
      <c r="D4" s="27" t="s">
        <v>200</v>
      </c>
      <c r="E4" s="27" t="s">
        <v>201</v>
      </c>
      <c r="F4" s="27" t="s">
        <v>202</v>
      </c>
      <c r="G4" s="27" t="s">
        <v>203</v>
      </c>
      <c r="H4" s="27" t="s">
        <v>204</v>
      </c>
      <c r="I4" s="27" t="s">
        <v>205</v>
      </c>
      <c r="J4" s="27" t="s">
        <v>206</v>
      </c>
      <c r="K4" s="27" t="s">
        <v>207</v>
      </c>
      <c r="L4" s="27" t="s">
        <v>208</v>
      </c>
      <c r="M4" s="27" t="s">
        <v>209</v>
      </c>
      <c r="N4" s="27" t="s">
        <v>210</v>
      </c>
      <c r="O4" s="27" t="s">
        <v>211</v>
      </c>
      <c r="P4" s="37" t="s">
        <v>46</v>
      </c>
      <c r="Q4" s="26"/>
    </row>
    <row r="5" spans="2:17" x14ac:dyDescent="0.25">
      <c r="B5" s="26"/>
      <c r="C5" s="36" t="s">
        <v>8</v>
      </c>
      <c r="D5" s="28">
        <v>53</v>
      </c>
      <c r="E5" s="29">
        <v>72</v>
      </c>
      <c r="F5" s="29">
        <v>15</v>
      </c>
      <c r="G5" s="29">
        <v>59</v>
      </c>
      <c r="H5" s="29">
        <v>57</v>
      </c>
      <c r="I5" s="29">
        <v>72</v>
      </c>
      <c r="J5" s="29">
        <v>47</v>
      </c>
      <c r="K5" s="29">
        <v>60</v>
      </c>
      <c r="L5" s="29">
        <v>43</v>
      </c>
      <c r="M5" s="29">
        <v>66</v>
      </c>
      <c r="N5" s="29">
        <v>42</v>
      </c>
      <c r="O5" s="30">
        <v>32</v>
      </c>
      <c r="P5" s="37">
        <f>SUM(D5:O5)</f>
        <v>618</v>
      </c>
      <c r="Q5" s="26"/>
    </row>
    <row r="6" spans="2:17" x14ac:dyDescent="0.25">
      <c r="B6" s="26"/>
      <c r="C6" s="36" t="s">
        <v>9</v>
      </c>
      <c r="D6" s="31">
        <v>12</v>
      </c>
      <c r="E6" s="26">
        <v>10</v>
      </c>
      <c r="F6" s="26">
        <v>26</v>
      </c>
      <c r="G6" s="26">
        <v>10</v>
      </c>
      <c r="H6" s="26">
        <v>27</v>
      </c>
      <c r="I6" s="26">
        <v>54</v>
      </c>
      <c r="J6" s="26">
        <v>48</v>
      </c>
      <c r="K6" s="26">
        <v>26</v>
      </c>
      <c r="L6" s="26">
        <v>57</v>
      </c>
      <c r="M6" s="26">
        <v>63</v>
      </c>
      <c r="N6" s="26">
        <v>4</v>
      </c>
      <c r="O6" s="32">
        <v>15</v>
      </c>
      <c r="P6" s="37">
        <f>SUM(D6:O6)</f>
        <v>352</v>
      </c>
      <c r="Q6" s="26"/>
    </row>
    <row r="7" spans="2:17" x14ac:dyDescent="0.25">
      <c r="B7" s="26"/>
      <c r="C7" s="36" t="s">
        <v>10</v>
      </c>
      <c r="D7" s="31">
        <v>56</v>
      </c>
      <c r="E7" s="26">
        <v>32</v>
      </c>
      <c r="F7" s="26">
        <v>41</v>
      </c>
      <c r="G7" s="26">
        <v>71</v>
      </c>
      <c r="H7" s="26">
        <v>63</v>
      </c>
      <c r="I7" s="26">
        <v>20</v>
      </c>
      <c r="J7" s="26">
        <v>48</v>
      </c>
      <c r="K7" s="26">
        <v>18</v>
      </c>
      <c r="L7" s="26">
        <v>40</v>
      </c>
      <c r="M7" s="26">
        <v>23</v>
      </c>
      <c r="N7" s="26">
        <v>1</v>
      </c>
      <c r="O7" s="32">
        <v>54</v>
      </c>
      <c r="P7" s="37">
        <f>SUM(D7:O7)</f>
        <v>467</v>
      </c>
      <c r="Q7" s="26"/>
    </row>
    <row r="8" spans="2:17" x14ac:dyDescent="0.25">
      <c r="B8" s="26"/>
      <c r="C8" s="36" t="s">
        <v>11</v>
      </c>
      <c r="D8" s="31">
        <v>31</v>
      </c>
      <c r="E8" s="26">
        <v>53</v>
      </c>
      <c r="F8" s="26">
        <v>39</v>
      </c>
      <c r="G8" s="26">
        <v>15</v>
      </c>
      <c r="H8" s="26">
        <v>61</v>
      </c>
      <c r="I8" s="26">
        <v>23</v>
      </c>
      <c r="J8" s="26">
        <v>75</v>
      </c>
      <c r="K8" s="26">
        <v>71</v>
      </c>
      <c r="L8" s="26">
        <v>25</v>
      </c>
      <c r="M8" s="26">
        <v>28</v>
      </c>
      <c r="N8" s="26">
        <v>6</v>
      </c>
      <c r="O8" s="32">
        <v>31</v>
      </c>
      <c r="P8" s="37">
        <f>SUM(D8:O8)</f>
        <v>458</v>
      </c>
      <c r="Q8" s="26"/>
    </row>
    <row r="9" spans="2:17" x14ac:dyDescent="0.25">
      <c r="B9" s="26"/>
      <c r="C9" s="36" t="s">
        <v>12</v>
      </c>
      <c r="D9" s="33">
        <v>72</v>
      </c>
      <c r="E9" s="34">
        <v>72</v>
      </c>
      <c r="F9" s="34">
        <v>78</v>
      </c>
      <c r="G9" s="34">
        <v>40</v>
      </c>
      <c r="H9" s="34">
        <v>33</v>
      </c>
      <c r="I9" s="34">
        <v>59</v>
      </c>
      <c r="J9" s="34">
        <v>63</v>
      </c>
      <c r="K9" s="34">
        <v>0</v>
      </c>
      <c r="L9" s="34">
        <v>43</v>
      </c>
      <c r="M9" s="34">
        <v>68</v>
      </c>
      <c r="N9" s="34">
        <v>78</v>
      </c>
      <c r="O9" s="35">
        <v>71</v>
      </c>
      <c r="P9" s="37">
        <f>SUM(D9:O9)</f>
        <v>677</v>
      </c>
      <c r="Q9" s="26"/>
    </row>
    <row r="10" spans="2:17" ht="18" customHeight="1" x14ac:dyDescent="0.25">
      <c r="B10" s="26"/>
      <c r="C10" s="37" t="s">
        <v>212</v>
      </c>
      <c r="D10" s="25">
        <f>SUM(D5:D9)</f>
        <v>224</v>
      </c>
      <c r="E10" s="25">
        <f t="shared" ref="E10:O10" si="0">SUM(E5:E9)</f>
        <v>239</v>
      </c>
      <c r="F10" s="25">
        <f t="shared" si="0"/>
        <v>199</v>
      </c>
      <c r="G10" s="25">
        <f t="shared" si="0"/>
        <v>195</v>
      </c>
      <c r="H10" s="25">
        <f t="shared" si="0"/>
        <v>241</v>
      </c>
      <c r="I10" s="25">
        <f t="shared" si="0"/>
        <v>228</v>
      </c>
      <c r="J10" s="25">
        <f t="shared" si="0"/>
        <v>281</v>
      </c>
      <c r="K10" s="25">
        <f t="shared" si="0"/>
        <v>175</v>
      </c>
      <c r="L10" s="25">
        <f t="shared" si="0"/>
        <v>208</v>
      </c>
      <c r="M10" s="25">
        <f t="shared" si="0"/>
        <v>248</v>
      </c>
      <c r="N10" s="25">
        <f t="shared" si="0"/>
        <v>131</v>
      </c>
      <c r="O10" s="25">
        <f t="shared" si="0"/>
        <v>203</v>
      </c>
      <c r="P10" s="25"/>
      <c r="Q10" s="26"/>
    </row>
    <row r="11" spans="2:17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x14ac:dyDescent="0.25">
      <c r="B12" s="26"/>
      <c r="C12" s="2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B1:Q12"/>
  <sheetViews>
    <sheetView workbookViewId="0">
      <selection activeCell="C12" sqref="C12"/>
    </sheetView>
  </sheetViews>
  <sheetFormatPr defaultRowHeight="15" x14ac:dyDescent="0.25"/>
  <cols>
    <col min="1" max="1" width="1.7109375" customWidth="1"/>
    <col min="3" max="3" width="17" customWidth="1"/>
  </cols>
  <sheetData>
    <row r="1" spans="2:17" x14ac:dyDescent="0.25">
      <c r="C1" s="11" t="s">
        <v>19</v>
      </c>
    </row>
    <row r="3" spans="2:17" ht="20.25" customHeight="1" x14ac:dyDescent="0.25">
      <c r="C3" s="11" t="s">
        <v>199</v>
      </c>
    </row>
    <row r="4" spans="2:17" ht="30" customHeight="1" x14ac:dyDescent="0.25">
      <c r="B4" s="26"/>
      <c r="C4" s="26"/>
      <c r="D4" s="27" t="s">
        <v>200</v>
      </c>
      <c r="E4" s="27" t="s">
        <v>201</v>
      </c>
      <c r="F4" s="27" t="s">
        <v>202</v>
      </c>
      <c r="G4" s="27" t="s">
        <v>203</v>
      </c>
      <c r="H4" s="27" t="s">
        <v>204</v>
      </c>
      <c r="I4" s="27" t="s">
        <v>205</v>
      </c>
      <c r="J4" s="27" t="s">
        <v>206</v>
      </c>
      <c r="K4" s="27" t="s">
        <v>207</v>
      </c>
      <c r="L4" s="27" t="s">
        <v>208</v>
      </c>
      <c r="M4" s="27" t="s">
        <v>209</v>
      </c>
      <c r="N4" s="27" t="s">
        <v>210</v>
      </c>
      <c r="O4" s="27" t="s">
        <v>211</v>
      </c>
      <c r="P4" s="37" t="s">
        <v>46</v>
      </c>
      <c r="Q4" s="26"/>
    </row>
    <row r="5" spans="2:17" x14ac:dyDescent="0.25">
      <c r="B5" s="26"/>
      <c r="C5" s="36" t="s">
        <v>8</v>
      </c>
      <c r="D5" s="28">
        <v>17</v>
      </c>
      <c r="E5" s="29">
        <v>7</v>
      </c>
      <c r="F5" s="29">
        <v>28</v>
      </c>
      <c r="G5" s="29">
        <v>17</v>
      </c>
      <c r="H5" s="29">
        <v>29</v>
      </c>
      <c r="I5" s="29">
        <v>6</v>
      </c>
      <c r="J5" s="29">
        <v>9</v>
      </c>
      <c r="K5" s="29">
        <v>25</v>
      </c>
      <c r="L5" s="29">
        <v>17</v>
      </c>
      <c r="M5" s="29">
        <v>24</v>
      </c>
      <c r="N5" s="29">
        <v>3</v>
      </c>
      <c r="O5" s="30">
        <v>12</v>
      </c>
      <c r="P5" s="37">
        <f>SUM(D5:O5)</f>
        <v>194</v>
      </c>
      <c r="Q5" s="26"/>
    </row>
    <row r="6" spans="2:17" x14ac:dyDescent="0.25">
      <c r="B6" s="26"/>
      <c r="C6" s="36" t="s">
        <v>9</v>
      </c>
      <c r="D6" s="31">
        <v>8</v>
      </c>
      <c r="E6" s="26">
        <v>26</v>
      </c>
      <c r="F6" s="26">
        <v>19</v>
      </c>
      <c r="G6" s="26">
        <v>23</v>
      </c>
      <c r="H6" s="26">
        <v>2</v>
      </c>
      <c r="I6" s="26">
        <v>19</v>
      </c>
      <c r="J6" s="26">
        <v>14</v>
      </c>
      <c r="K6" s="26">
        <v>1</v>
      </c>
      <c r="L6" s="26">
        <v>11</v>
      </c>
      <c r="M6" s="26">
        <v>28</v>
      </c>
      <c r="N6" s="26">
        <v>0</v>
      </c>
      <c r="O6" s="32">
        <v>10</v>
      </c>
      <c r="P6" s="37">
        <f>SUM(D6:O6)</f>
        <v>161</v>
      </c>
      <c r="Q6" s="26"/>
    </row>
    <row r="7" spans="2:17" x14ac:dyDescent="0.25">
      <c r="B7" s="26"/>
      <c r="C7" s="36" t="s">
        <v>10</v>
      </c>
      <c r="D7" s="31">
        <v>20</v>
      </c>
      <c r="E7" s="26">
        <v>7</v>
      </c>
      <c r="F7" s="26">
        <v>29</v>
      </c>
      <c r="G7" s="26">
        <v>29</v>
      </c>
      <c r="H7" s="26">
        <v>1</v>
      </c>
      <c r="I7" s="26">
        <v>18</v>
      </c>
      <c r="J7" s="26">
        <v>4</v>
      </c>
      <c r="K7" s="26">
        <v>26</v>
      </c>
      <c r="L7" s="26">
        <v>16</v>
      </c>
      <c r="M7" s="26">
        <v>0</v>
      </c>
      <c r="N7" s="26">
        <v>25</v>
      </c>
      <c r="O7" s="32">
        <v>12</v>
      </c>
      <c r="P7" s="37">
        <f>SUM(D7:O7)</f>
        <v>187</v>
      </c>
      <c r="Q7" s="26"/>
    </row>
    <row r="8" spans="2:17" x14ac:dyDescent="0.25">
      <c r="B8" s="26"/>
      <c r="C8" s="36" t="s">
        <v>11</v>
      </c>
      <c r="D8" s="31">
        <v>24</v>
      </c>
      <c r="E8" s="26">
        <v>7</v>
      </c>
      <c r="F8" s="26">
        <v>2</v>
      </c>
      <c r="G8" s="26">
        <v>23</v>
      </c>
      <c r="H8" s="26">
        <v>21</v>
      </c>
      <c r="I8" s="26">
        <v>29</v>
      </c>
      <c r="J8" s="26">
        <v>6</v>
      </c>
      <c r="K8" s="26">
        <v>26</v>
      </c>
      <c r="L8" s="26">
        <v>22</v>
      </c>
      <c r="M8" s="26">
        <v>30</v>
      </c>
      <c r="N8" s="26">
        <v>26</v>
      </c>
      <c r="O8" s="32">
        <v>12</v>
      </c>
      <c r="P8" s="37">
        <f>SUM(D8:O8)</f>
        <v>228</v>
      </c>
      <c r="Q8" s="26"/>
    </row>
    <row r="9" spans="2:17" x14ac:dyDescent="0.25">
      <c r="B9" s="26"/>
      <c r="C9" s="36" t="s">
        <v>12</v>
      </c>
      <c r="D9" s="33">
        <v>14</v>
      </c>
      <c r="E9" s="34">
        <v>0</v>
      </c>
      <c r="F9" s="34">
        <v>16</v>
      </c>
      <c r="G9" s="34">
        <v>3</v>
      </c>
      <c r="H9" s="34">
        <v>24</v>
      </c>
      <c r="I9" s="34">
        <v>12</v>
      </c>
      <c r="J9" s="34">
        <v>30</v>
      </c>
      <c r="K9" s="34">
        <v>9</v>
      </c>
      <c r="L9" s="34">
        <v>4</v>
      </c>
      <c r="M9" s="34">
        <v>13</v>
      </c>
      <c r="N9" s="34">
        <v>22</v>
      </c>
      <c r="O9" s="35">
        <v>26</v>
      </c>
      <c r="P9" s="37">
        <f>SUM(D9:O9)</f>
        <v>173</v>
      </c>
      <c r="Q9" s="26"/>
    </row>
    <row r="10" spans="2:17" ht="18" customHeight="1" x14ac:dyDescent="0.25">
      <c r="B10" s="26"/>
      <c r="C10" s="37" t="s">
        <v>212</v>
      </c>
      <c r="D10" s="25">
        <f>SUM(D5:D9)</f>
        <v>83</v>
      </c>
      <c r="E10" s="25">
        <f t="shared" ref="E10:O10" si="0">SUM(E5:E9)</f>
        <v>47</v>
      </c>
      <c r="F10" s="25">
        <f t="shared" si="0"/>
        <v>94</v>
      </c>
      <c r="G10" s="25">
        <f t="shared" si="0"/>
        <v>95</v>
      </c>
      <c r="H10" s="25">
        <f t="shared" si="0"/>
        <v>77</v>
      </c>
      <c r="I10" s="25">
        <f t="shared" si="0"/>
        <v>84</v>
      </c>
      <c r="J10" s="25">
        <f t="shared" si="0"/>
        <v>63</v>
      </c>
      <c r="K10" s="25">
        <f t="shared" si="0"/>
        <v>87</v>
      </c>
      <c r="L10" s="25">
        <f t="shared" si="0"/>
        <v>70</v>
      </c>
      <c r="M10" s="25">
        <f t="shared" si="0"/>
        <v>95</v>
      </c>
      <c r="N10" s="25">
        <f t="shared" si="0"/>
        <v>76</v>
      </c>
      <c r="O10" s="25">
        <f t="shared" si="0"/>
        <v>72</v>
      </c>
      <c r="P10" s="25"/>
      <c r="Q10" s="26"/>
    </row>
    <row r="11" spans="2:17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x14ac:dyDescent="0.25">
      <c r="B12" s="26"/>
      <c r="C12" s="2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B2:F18"/>
  <sheetViews>
    <sheetView workbookViewId="0">
      <selection activeCell="I13" sqref="I13"/>
    </sheetView>
  </sheetViews>
  <sheetFormatPr defaultRowHeight="15" x14ac:dyDescent="0.25"/>
  <cols>
    <col min="6" max="6" width="13.28515625" customWidth="1"/>
  </cols>
  <sheetData>
    <row r="2" spans="2:6" x14ac:dyDescent="0.25">
      <c r="B2" s="2" t="s">
        <v>351</v>
      </c>
    </row>
    <row r="5" spans="2:6" x14ac:dyDescent="0.25">
      <c r="C5" t="s">
        <v>0</v>
      </c>
      <c r="D5" t="s">
        <v>1</v>
      </c>
      <c r="E5" t="s">
        <v>2</v>
      </c>
      <c r="F5" t="s">
        <v>218</v>
      </c>
    </row>
    <row r="6" spans="2:6" x14ac:dyDescent="0.25">
      <c r="B6" t="s">
        <v>200</v>
      </c>
      <c r="C6">
        <v>95</v>
      </c>
      <c r="D6">
        <v>49</v>
      </c>
      <c r="E6">
        <v>21</v>
      </c>
      <c r="F6" s="12">
        <v>338508</v>
      </c>
    </row>
    <row r="7" spans="2:6" x14ac:dyDescent="0.25">
      <c r="B7" t="s">
        <v>201</v>
      </c>
      <c r="C7">
        <v>99</v>
      </c>
      <c r="D7">
        <v>75</v>
      </c>
      <c r="E7">
        <v>52</v>
      </c>
      <c r="F7" s="12">
        <v>145659</v>
      </c>
    </row>
    <row r="8" spans="2:6" x14ac:dyDescent="0.25">
      <c r="B8" t="s">
        <v>202</v>
      </c>
      <c r="C8">
        <v>26</v>
      </c>
      <c r="D8">
        <v>76</v>
      </c>
      <c r="E8">
        <v>31</v>
      </c>
      <c r="F8" s="12">
        <v>251868</v>
      </c>
    </row>
    <row r="9" spans="2:6" x14ac:dyDescent="0.25">
      <c r="B9" t="s">
        <v>203</v>
      </c>
      <c r="C9">
        <v>81</v>
      </c>
      <c r="D9">
        <v>98</v>
      </c>
      <c r="E9">
        <v>68</v>
      </c>
      <c r="F9" s="12">
        <v>184186</v>
      </c>
    </row>
    <row r="10" spans="2:6" x14ac:dyDescent="0.25">
      <c r="B10" t="s">
        <v>204</v>
      </c>
      <c r="C10">
        <v>88</v>
      </c>
      <c r="D10">
        <v>87</v>
      </c>
      <c r="E10">
        <v>23</v>
      </c>
      <c r="F10" s="12">
        <v>137741</v>
      </c>
    </row>
    <row r="11" spans="2:6" x14ac:dyDescent="0.25">
      <c r="B11" t="s">
        <v>205</v>
      </c>
      <c r="C11">
        <v>61</v>
      </c>
      <c r="D11">
        <v>30</v>
      </c>
      <c r="E11">
        <v>67</v>
      </c>
      <c r="F11" s="12">
        <v>183563</v>
      </c>
    </row>
    <row r="12" spans="2:6" x14ac:dyDescent="0.25">
      <c r="B12" t="s">
        <v>206</v>
      </c>
      <c r="C12">
        <v>55</v>
      </c>
      <c r="D12">
        <v>92</v>
      </c>
      <c r="E12">
        <v>36</v>
      </c>
      <c r="F12" s="12">
        <v>307291</v>
      </c>
    </row>
    <row r="13" spans="2:6" x14ac:dyDescent="0.25">
      <c r="B13" t="s">
        <v>207</v>
      </c>
      <c r="C13">
        <v>60</v>
      </c>
      <c r="D13">
        <v>19</v>
      </c>
      <c r="E13">
        <v>30</v>
      </c>
      <c r="F13" s="12">
        <v>153838</v>
      </c>
    </row>
    <row r="14" spans="2:6" x14ac:dyDescent="0.25">
      <c r="B14" t="s">
        <v>208</v>
      </c>
      <c r="C14">
        <v>79</v>
      </c>
      <c r="D14">
        <v>11</v>
      </c>
      <c r="E14">
        <v>26</v>
      </c>
      <c r="F14" s="12">
        <v>496323</v>
      </c>
    </row>
    <row r="15" spans="2:6" x14ac:dyDescent="0.25">
      <c r="B15" t="s">
        <v>209</v>
      </c>
      <c r="C15">
        <v>66</v>
      </c>
      <c r="D15">
        <v>93</v>
      </c>
      <c r="E15">
        <v>79</v>
      </c>
      <c r="F15" s="12">
        <v>193328</v>
      </c>
    </row>
    <row r="16" spans="2:6" x14ac:dyDescent="0.25">
      <c r="B16" t="s">
        <v>210</v>
      </c>
      <c r="C16">
        <v>92</v>
      </c>
      <c r="D16">
        <v>92</v>
      </c>
      <c r="E16">
        <v>92</v>
      </c>
      <c r="F16" s="12">
        <v>209642</v>
      </c>
    </row>
    <row r="17" spans="2:6" x14ac:dyDescent="0.25">
      <c r="B17" t="s">
        <v>211</v>
      </c>
      <c r="C17">
        <v>45</v>
      </c>
      <c r="D17">
        <v>45</v>
      </c>
      <c r="E17">
        <v>45</v>
      </c>
      <c r="F17" s="12">
        <v>428407</v>
      </c>
    </row>
    <row r="18" spans="2:6" x14ac:dyDescent="0.25">
      <c r="B18" s="2" t="s">
        <v>7</v>
      </c>
      <c r="C18" s="2">
        <f>SUM(C6:C17)</f>
        <v>847</v>
      </c>
      <c r="D18" s="2">
        <f>SUM(D6:D17)</f>
        <v>767</v>
      </c>
      <c r="E18" s="2">
        <f>SUM(E6:E17)</f>
        <v>570</v>
      </c>
      <c r="F18" s="13">
        <f>SUM(F6:F17)</f>
        <v>3030354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100" manualMin="0" type="column" displayEmptyCellsAs="gap" high="1" minAxisType="custom" maxAxisType="custom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'14. Grafy'!C6:E6</xm:f>
              <xm:sqref>G6</xm:sqref>
            </x14:sparkline>
            <x14:sparkline>
              <xm:f>'14. Grafy'!C7:E7</xm:f>
              <xm:sqref>G7</xm:sqref>
            </x14:sparkline>
            <x14:sparkline>
              <xm:f>'14. Grafy'!C8:E8</xm:f>
              <xm:sqref>G8</xm:sqref>
            </x14:sparkline>
            <x14:sparkline>
              <xm:f>'14. Grafy'!C9:E9</xm:f>
              <xm:sqref>G9</xm:sqref>
            </x14:sparkline>
            <x14:sparkline>
              <xm:f>'14. Grafy'!C10:E10</xm:f>
              <xm:sqref>G10</xm:sqref>
            </x14:sparkline>
            <x14:sparkline>
              <xm:f>'14. Grafy'!C11:E11</xm:f>
              <xm:sqref>G11</xm:sqref>
            </x14:sparkline>
            <x14:sparkline>
              <xm:f>'14. Grafy'!C12:E12</xm:f>
              <xm:sqref>G12</xm:sqref>
            </x14:sparkline>
            <x14:sparkline>
              <xm:f>'14. Grafy'!C13:E13</xm:f>
              <xm:sqref>G13</xm:sqref>
            </x14:sparkline>
            <x14:sparkline>
              <xm:f>'14. Grafy'!C14:E14</xm:f>
              <xm:sqref>G14</xm:sqref>
            </x14:sparkline>
            <x14:sparkline>
              <xm:f>'14. Grafy'!C15:E15</xm:f>
              <xm:sqref>G15</xm:sqref>
            </x14:sparkline>
            <x14:sparkline>
              <xm:f>'14. Grafy'!C16:E16</xm:f>
              <xm:sqref>G16</xm:sqref>
            </x14:sparkline>
            <x14:sparkline>
              <xm:f>'14. Grafy'!C17:E17</xm:f>
              <xm:sqref>G17</xm:sqref>
            </x14:sparkline>
          </x14:sparklines>
        </x14:sparklineGroup>
        <x14:sparklineGroup manualMax="100" manualMin="0" displayEmptyCellsAs="gap" minAxisType="custom" maxAxisType="custom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'14. Grafy'!C6:C17</xm:f>
              <xm:sqref>C19</xm:sqref>
            </x14:sparkline>
            <x14:sparkline>
              <xm:f>'14. Grafy'!D6:D17</xm:f>
              <xm:sqref>D19</xm:sqref>
            </x14:sparkline>
            <x14:sparkline>
              <xm:f>'14. Grafy'!E6:E17</xm:f>
              <xm:sqref>E19</xm:sqref>
            </x14:sparkline>
          </x14:sparklines>
        </x14:sparklineGroup>
        <x14:sparklineGroup displayEmptyCellsAs="gap">
          <x14:colorSeries theme="7"/>
          <x14:colorNegative theme="8"/>
          <x14:colorAxis rgb="FF000000"/>
          <x14:colorMarkers theme="7" tint="-0.249977111117893"/>
          <x14:colorFirst theme="7" tint="-0.249977111117893"/>
          <x14:colorLast theme="7" tint="-0.249977111117893"/>
          <x14:colorHigh theme="7" tint="-0.249977111117893"/>
          <x14:colorLow theme="7" tint="-0.249977111117893"/>
          <x14:sparklines>
            <x14:sparkline>
              <xm:f>'14. Grafy'!F6:F17</xm:f>
              <xm:sqref>F19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00B050"/>
  </sheetPr>
  <dimension ref="A2:D16"/>
  <sheetViews>
    <sheetView workbookViewId="0">
      <selection activeCell="G16" sqref="G16"/>
    </sheetView>
  </sheetViews>
  <sheetFormatPr defaultRowHeight="15" x14ac:dyDescent="0.25"/>
  <cols>
    <col min="2" max="2" width="47" bestFit="1" customWidth="1"/>
    <col min="3" max="4" width="5.5703125" bestFit="1" customWidth="1"/>
    <col min="5" max="5" width="5.42578125" bestFit="1" customWidth="1"/>
    <col min="6" max="6" width="3" bestFit="1" customWidth="1"/>
  </cols>
  <sheetData>
    <row r="2" spans="1:4" x14ac:dyDescent="0.25">
      <c r="B2" s="2" t="s">
        <v>20</v>
      </c>
    </row>
    <row r="4" spans="1:4" x14ac:dyDescent="0.25">
      <c r="A4">
        <v>13</v>
      </c>
      <c r="B4" t="s">
        <v>231</v>
      </c>
      <c r="D4" s="16"/>
    </row>
    <row r="5" spans="1:4" x14ac:dyDescent="0.25">
      <c r="A5">
        <v>12</v>
      </c>
      <c r="B5" t="s">
        <v>230</v>
      </c>
      <c r="C5" s="16"/>
      <c r="D5" s="16"/>
    </row>
    <row r="6" spans="1:4" x14ac:dyDescent="0.25">
      <c r="A6">
        <v>11</v>
      </c>
      <c r="B6" t="s">
        <v>229</v>
      </c>
      <c r="D6" s="16"/>
    </row>
    <row r="7" spans="1:4" x14ac:dyDescent="0.25">
      <c r="A7">
        <v>10</v>
      </c>
      <c r="B7" t="s">
        <v>228</v>
      </c>
      <c r="D7" s="16"/>
    </row>
    <row r="8" spans="1:4" x14ac:dyDescent="0.25">
      <c r="A8">
        <v>9</v>
      </c>
      <c r="B8" t="s">
        <v>227</v>
      </c>
      <c r="D8" s="16"/>
    </row>
    <row r="9" spans="1:4" x14ac:dyDescent="0.25">
      <c r="A9">
        <v>8</v>
      </c>
      <c r="B9" t="s">
        <v>226</v>
      </c>
      <c r="C9" s="16"/>
      <c r="D9" s="16"/>
    </row>
    <row r="10" spans="1:4" x14ac:dyDescent="0.25">
      <c r="A10">
        <v>7</v>
      </c>
      <c r="B10" t="s">
        <v>235</v>
      </c>
      <c r="C10" s="16"/>
      <c r="D10" s="16"/>
    </row>
    <row r="11" spans="1:4" x14ac:dyDescent="0.25">
      <c r="A11">
        <v>6</v>
      </c>
      <c r="B11" t="s">
        <v>225</v>
      </c>
      <c r="C11" s="16"/>
      <c r="D11" s="16"/>
    </row>
    <row r="12" spans="1:4" x14ac:dyDescent="0.25">
      <c r="A12">
        <v>5</v>
      </c>
      <c r="B12" t="s">
        <v>224</v>
      </c>
      <c r="C12" s="16"/>
      <c r="D12" s="16"/>
    </row>
    <row r="13" spans="1:4" x14ac:dyDescent="0.25">
      <c r="A13">
        <v>4</v>
      </c>
      <c r="B13" t="s">
        <v>223</v>
      </c>
      <c r="D13" s="16"/>
    </row>
    <row r="14" spans="1:4" x14ac:dyDescent="0.25">
      <c r="A14">
        <v>3</v>
      </c>
      <c r="B14" t="s">
        <v>234</v>
      </c>
      <c r="C14" s="16"/>
      <c r="D14" s="16"/>
    </row>
    <row r="15" spans="1:4" x14ac:dyDescent="0.25">
      <c r="A15">
        <v>2</v>
      </c>
      <c r="B15" t="s">
        <v>233</v>
      </c>
      <c r="C15" s="16"/>
      <c r="D15" s="16"/>
    </row>
    <row r="16" spans="1:4" x14ac:dyDescent="0.25">
      <c r="A16">
        <v>1</v>
      </c>
      <c r="B16" t="s">
        <v>232</v>
      </c>
      <c r="C16" s="16"/>
    </row>
  </sheetData>
  <sortState ref="A4:B16">
    <sortCondition descending="1" ref="A6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B3:E26"/>
  <sheetViews>
    <sheetView topLeftCell="D1" workbookViewId="0">
      <selection activeCell="C19" sqref="C19"/>
    </sheetView>
  </sheetViews>
  <sheetFormatPr defaultRowHeight="15" x14ac:dyDescent="0.25"/>
  <cols>
    <col min="2" max="2" width="14.5703125" customWidth="1"/>
    <col min="3" max="3" width="14" customWidth="1"/>
    <col min="4" max="4" width="14.140625" bestFit="1" customWidth="1"/>
    <col min="5" max="5" width="10.42578125" bestFit="1" customWidth="1"/>
  </cols>
  <sheetData>
    <row r="3" spans="2:5" x14ac:dyDescent="0.25">
      <c r="B3" t="s">
        <v>221</v>
      </c>
      <c r="C3" t="s">
        <v>219</v>
      </c>
      <c r="D3" t="s">
        <v>220</v>
      </c>
      <c r="E3" t="s">
        <v>222</v>
      </c>
    </row>
    <row r="4" spans="2:5" x14ac:dyDescent="0.25">
      <c r="B4" s="14" t="s">
        <v>352</v>
      </c>
      <c r="C4">
        <v>15</v>
      </c>
      <c r="D4" s="8">
        <v>863</v>
      </c>
      <c r="E4" s="15">
        <v>12945</v>
      </c>
    </row>
    <row r="5" spans="2:5" x14ac:dyDescent="0.25">
      <c r="B5" s="14" t="s">
        <v>353</v>
      </c>
      <c r="C5">
        <v>12</v>
      </c>
      <c r="D5" s="8">
        <v>543</v>
      </c>
      <c r="E5" s="15">
        <v>6516</v>
      </c>
    </row>
    <row r="6" spans="2:5" x14ac:dyDescent="0.25">
      <c r="B6" s="14" t="s">
        <v>354</v>
      </c>
      <c r="C6">
        <v>12</v>
      </c>
      <c r="D6" s="8">
        <v>638</v>
      </c>
      <c r="E6" s="15">
        <v>7656</v>
      </c>
    </row>
    <row r="7" spans="2:5" x14ac:dyDescent="0.25">
      <c r="B7" s="14" t="s">
        <v>355</v>
      </c>
      <c r="C7">
        <v>10</v>
      </c>
      <c r="D7" s="8">
        <v>464</v>
      </c>
      <c r="E7" s="15">
        <v>4640</v>
      </c>
    </row>
    <row r="8" spans="2:5" x14ac:dyDescent="0.25">
      <c r="B8" s="14" t="s">
        <v>356</v>
      </c>
      <c r="C8">
        <v>5</v>
      </c>
      <c r="D8" s="8">
        <v>884</v>
      </c>
      <c r="E8" s="15">
        <v>4420</v>
      </c>
    </row>
    <row r="9" spans="2:5" x14ac:dyDescent="0.25">
      <c r="B9" s="14" t="s">
        <v>357</v>
      </c>
      <c r="C9">
        <v>14</v>
      </c>
      <c r="D9" s="8">
        <v>611</v>
      </c>
      <c r="E9" s="15">
        <v>8554</v>
      </c>
    </row>
    <row r="10" spans="2:5" x14ac:dyDescent="0.25">
      <c r="B10" s="14" t="s">
        <v>358</v>
      </c>
      <c r="C10">
        <v>14</v>
      </c>
      <c r="D10" s="8">
        <v>304</v>
      </c>
      <c r="E10" s="15">
        <v>4256</v>
      </c>
    </row>
    <row r="11" spans="2:5" x14ac:dyDescent="0.25">
      <c r="B11" s="14" t="s">
        <v>359</v>
      </c>
      <c r="C11">
        <v>19</v>
      </c>
      <c r="D11" s="8">
        <v>784</v>
      </c>
      <c r="E11" s="15">
        <v>14896</v>
      </c>
    </row>
    <row r="12" spans="2:5" x14ac:dyDescent="0.25">
      <c r="B12" s="14" t="s">
        <v>360</v>
      </c>
      <c r="C12">
        <v>15</v>
      </c>
      <c r="D12" s="8">
        <v>1453</v>
      </c>
      <c r="E12" s="15">
        <v>21795</v>
      </c>
    </row>
    <row r="13" spans="2:5" x14ac:dyDescent="0.25">
      <c r="B13" s="14" t="s">
        <v>361</v>
      </c>
      <c r="C13">
        <v>14</v>
      </c>
      <c r="D13" s="8">
        <v>1177</v>
      </c>
      <c r="E13" s="15">
        <v>16478</v>
      </c>
    </row>
    <row r="14" spans="2:5" x14ac:dyDescent="0.25">
      <c r="B14" s="14" t="s">
        <v>362</v>
      </c>
      <c r="C14">
        <v>1</v>
      </c>
      <c r="D14" s="8">
        <v>1052</v>
      </c>
      <c r="E14" s="15">
        <v>1052</v>
      </c>
    </row>
    <row r="15" spans="2:5" x14ac:dyDescent="0.25">
      <c r="B15" s="14" t="s">
        <v>363</v>
      </c>
      <c r="C15">
        <v>21</v>
      </c>
      <c r="D15" s="8">
        <v>431.1</v>
      </c>
      <c r="E15" s="15">
        <v>9053.1</v>
      </c>
    </row>
    <row r="16" spans="2:5" x14ac:dyDescent="0.25">
      <c r="B16" s="14" t="s">
        <v>364</v>
      </c>
      <c r="C16">
        <v>12</v>
      </c>
      <c r="D16" s="8">
        <v>712.80000000000007</v>
      </c>
      <c r="E16" s="15">
        <v>8553.6</v>
      </c>
    </row>
    <row r="17" spans="2:5" x14ac:dyDescent="0.25">
      <c r="B17" s="14" t="s">
        <v>365</v>
      </c>
      <c r="C17">
        <v>12</v>
      </c>
      <c r="D17" s="8">
        <v>692.1</v>
      </c>
      <c r="E17" s="15">
        <v>8305.2000000000007</v>
      </c>
    </row>
    <row r="18" spans="2:5" x14ac:dyDescent="0.25">
      <c r="B18" s="14" t="s">
        <v>366</v>
      </c>
      <c r="C18">
        <v>12</v>
      </c>
      <c r="D18" s="8">
        <v>1123.2</v>
      </c>
      <c r="E18" s="15">
        <v>13478.400000000001</v>
      </c>
    </row>
    <row r="19" spans="2:5" x14ac:dyDescent="0.25">
      <c r="B19" s="14" t="s">
        <v>367</v>
      </c>
      <c r="C19">
        <v>24</v>
      </c>
      <c r="D19" s="8">
        <v>535.5</v>
      </c>
      <c r="E19" s="15">
        <v>12852</v>
      </c>
    </row>
    <row r="20" spans="2:5" x14ac:dyDescent="0.25">
      <c r="B20" s="14" t="s">
        <v>368</v>
      </c>
      <c r="C20">
        <v>19.5</v>
      </c>
      <c r="D20" s="8">
        <v>675</v>
      </c>
      <c r="E20" s="15">
        <v>13162.5</v>
      </c>
    </row>
    <row r="21" spans="2:5" x14ac:dyDescent="0.25">
      <c r="B21" s="14" t="s">
        <v>369</v>
      </c>
      <c r="C21">
        <v>27</v>
      </c>
      <c r="D21" s="8">
        <v>1323</v>
      </c>
      <c r="E21" s="15">
        <v>35721</v>
      </c>
    </row>
    <row r="22" spans="2:5" x14ac:dyDescent="0.25">
      <c r="B22" s="14" t="s">
        <v>370</v>
      </c>
      <c r="C22">
        <v>6</v>
      </c>
      <c r="D22" s="8">
        <v>391.5</v>
      </c>
      <c r="E22" s="15">
        <v>2349</v>
      </c>
    </row>
    <row r="23" spans="2:5" x14ac:dyDescent="0.25">
      <c r="B23" s="14" t="s">
        <v>371</v>
      </c>
      <c r="C23">
        <v>27</v>
      </c>
      <c r="D23" s="8">
        <v>1032.3</v>
      </c>
      <c r="E23" s="15">
        <v>27872.1</v>
      </c>
    </row>
    <row r="24" spans="2:5" x14ac:dyDescent="0.25">
      <c r="B24" s="14" t="s">
        <v>372</v>
      </c>
      <c r="C24">
        <v>13.5</v>
      </c>
      <c r="D24" s="8">
        <v>657</v>
      </c>
      <c r="E24" s="15">
        <v>8869.5</v>
      </c>
    </row>
    <row r="25" spans="2:5" x14ac:dyDescent="0.25">
      <c r="B25" s="14" t="s">
        <v>373</v>
      </c>
      <c r="C25">
        <v>1.5</v>
      </c>
      <c r="D25" s="8">
        <v>536.4</v>
      </c>
      <c r="E25" s="15">
        <v>804.59999999999991</v>
      </c>
    </row>
    <row r="26" spans="2:5" x14ac:dyDescent="0.25">
      <c r="B26" s="14" t="s">
        <v>374</v>
      </c>
      <c r="C26">
        <v>16.5</v>
      </c>
      <c r="D26" s="8">
        <v>1254.6000000000001</v>
      </c>
      <c r="E26" s="15">
        <v>20700.900000000001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2:M37"/>
  <sheetViews>
    <sheetView workbookViewId="0">
      <selection activeCell="H8" sqref="H8"/>
    </sheetView>
  </sheetViews>
  <sheetFormatPr defaultRowHeight="15" x14ac:dyDescent="0.25"/>
  <cols>
    <col min="8" max="8" width="22" customWidth="1"/>
    <col min="9" max="9" width="30" customWidth="1"/>
    <col min="10" max="10" width="19.42578125" customWidth="1"/>
  </cols>
  <sheetData>
    <row r="2" spans="2:10" x14ac:dyDescent="0.25">
      <c r="B2" s="2" t="s">
        <v>21</v>
      </c>
      <c r="H2">
        <f>1+I8+I9</f>
        <v>929</v>
      </c>
    </row>
    <row r="3" spans="2:10" x14ac:dyDescent="0.25">
      <c r="H3">
        <f>SUM(I8,I9)</f>
        <v>928</v>
      </c>
    </row>
    <row r="4" spans="2:10" x14ac:dyDescent="0.25">
      <c r="H4">
        <f>SUM(I8,I9)</f>
        <v>928</v>
      </c>
      <c r="I4">
        <f>SUM(I8:I14)+1</f>
        <v>2802</v>
      </c>
    </row>
    <row r="5" spans="2:10" x14ac:dyDescent="0.25">
      <c r="B5" s="2" t="s">
        <v>22</v>
      </c>
      <c r="H5" s="2" t="s">
        <v>41</v>
      </c>
    </row>
    <row r="7" spans="2:10" x14ac:dyDescent="0.25">
      <c r="H7" s="2" t="s">
        <v>48</v>
      </c>
      <c r="I7" s="2" t="s">
        <v>49</v>
      </c>
      <c r="J7" s="2" t="s">
        <v>54</v>
      </c>
    </row>
    <row r="8" spans="2:10" x14ac:dyDescent="0.25">
      <c r="B8" s="1" t="s">
        <v>23</v>
      </c>
      <c r="C8" t="s">
        <v>27</v>
      </c>
      <c r="D8" t="s">
        <v>31</v>
      </c>
      <c r="E8" t="s">
        <v>0</v>
      </c>
      <c r="F8" t="s">
        <v>35</v>
      </c>
      <c r="H8" t="s">
        <v>27</v>
      </c>
      <c r="I8">
        <v>419</v>
      </c>
      <c r="J8">
        <f>I8*$I$20</f>
        <v>83.800000000000011</v>
      </c>
    </row>
    <row r="9" spans="2:10" x14ac:dyDescent="0.25">
      <c r="B9" s="1" t="s">
        <v>24</v>
      </c>
      <c r="C9" t="s">
        <v>28</v>
      </c>
      <c r="D9" t="s">
        <v>32</v>
      </c>
      <c r="E9" t="s">
        <v>1</v>
      </c>
      <c r="F9" t="s">
        <v>36</v>
      </c>
      <c r="H9" t="s">
        <v>28</v>
      </c>
      <c r="I9">
        <v>509</v>
      </c>
      <c r="J9">
        <f t="shared" ref="J9:J14" si="0">I9*$I$20</f>
        <v>101.80000000000001</v>
      </c>
    </row>
    <row r="10" spans="2:10" x14ac:dyDescent="0.25">
      <c r="B10" s="1" t="s">
        <v>25</v>
      </c>
      <c r="C10" t="s">
        <v>29</v>
      </c>
      <c r="D10" t="s">
        <v>33</v>
      </c>
      <c r="E10" t="s">
        <v>6</v>
      </c>
      <c r="F10" t="s">
        <v>37</v>
      </c>
      <c r="H10" t="s">
        <v>29</v>
      </c>
      <c r="I10">
        <v>439</v>
      </c>
      <c r="J10">
        <f t="shared" si="0"/>
        <v>87.800000000000011</v>
      </c>
    </row>
    <row r="11" spans="2:10" x14ac:dyDescent="0.25">
      <c r="B11" s="1" t="s">
        <v>26</v>
      </c>
      <c r="C11" t="s">
        <v>30</v>
      </c>
      <c r="D11" t="s">
        <v>34</v>
      </c>
      <c r="E11" t="s">
        <v>4</v>
      </c>
      <c r="F11" t="s">
        <v>38</v>
      </c>
      <c r="H11" t="s">
        <v>30</v>
      </c>
      <c r="I11">
        <v>361</v>
      </c>
      <c r="J11">
        <f t="shared" si="0"/>
        <v>72.2</v>
      </c>
    </row>
    <row r="12" spans="2:10" x14ac:dyDescent="0.25">
      <c r="H12" t="s">
        <v>42</v>
      </c>
      <c r="I12">
        <v>426</v>
      </c>
      <c r="J12">
        <f t="shared" si="0"/>
        <v>85.2</v>
      </c>
    </row>
    <row r="13" spans="2:10" x14ac:dyDescent="0.25">
      <c r="H13" t="s">
        <v>43</v>
      </c>
      <c r="I13">
        <v>315</v>
      </c>
      <c r="J13">
        <f t="shared" si="0"/>
        <v>63</v>
      </c>
    </row>
    <row r="14" spans="2:10" x14ac:dyDescent="0.25">
      <c r="H14" t="s">
        <v>44</v>
      </c>
      <c r="I14">
        <v>332</v>
      </c>
      <c r="J14">
        <f t="shared" si="0"/>
        <v>66.400000000000006</v>
      </c>
    </row>
    <row r="15" spans="2:10" x14ac:dyDescent="0.25">
      <c r="B15" s="2" t="s">
        <v>39</v>
      </c>
    </row>
    <row r="16" spans="2:10" x14ac:dyDescent="0.25">
      <c r="H16" t="s">
        <v>45</v>
      </c>
      <c r="I16">
        <f>SUM(I13:I14)</f>
        <v>647</v>
      </c>
    </row>
    <row r="17" spans="2:13" x14ac:dyDescent="0.25">
      <c r="B17" t="str">
        <f>B8</f>
        <v>Jaro</v>
      </c>
      <c r="H17" t="s">
        <v>46</v>
      </c>
      <c r="I17">
        <f>SUM(I8:I14)</f>
        <v>2801</v>
      </c>
      <c r="J17" s="4" t="s">
        <v>239</v>
      </c>
      <c r="K17" s="4" t="s">
        <v>240</v>
      </c>
    </row>
    <row r="18" spans="2:13" x14ac:dyDescent="0.25">
      <c r="H18" t="s">
        <v>47</v>
      </c>
      <c r="I18" s="19">
        <f>AVERAGE(I8:I14)</f>
        <v>400.14285714285717</v>
      </c>
      <c r="J18" s="4" t="s">
        <v>237</v>
      </c>
      <c r="K18" s="4" t="s">
        <v>238</v>
      </c>
    </row>
    <row r="19" spans="2:13" x14ac:dyDescent="0.25">
      <c r="H19" t="s">
        <v>241</v>
      </c>
      <c r="I19">
        <f>COUNT(I8:I14)</f>
        <v>7</v>
      </c>
      <c r="J19" s="4" t="s">
        <v>242</v>
      </c>
      <c r="K19" s="4" t="s">
        <v>243</v>
      </c>
    </row>
    <row r="20" spans="2:13" x14ac:dyDescent="0.25">
      <c r="H20" t="s">
        <v>51</v>
      </c>
      <c r="I20">
        <v>0.2</v>
      </c>
    </row>
    <row r="21" spans="2:13" x14ac:dyDescent="0.25">
      <c r="H21" t="s">
        <v>52</v>
      </c>
      <c r="I21">
        <f>SUM(I8:I14)*I20</f>
        <v>560.20000000000005</v>
      </c>
    </row>
    <row r="22" spans="2:13" x14ac:dyDescent="0.25">
      <c r="H22" t="s">
        <v>53</v>
      </c>
      <c r="I22">
        <f>I16*I20</f>
        <v>129.4</v>
      </c>
    </row>
    <row r="25" spans="2:13" x14ac:dyDescent="0.25">
      <c r="H25" s="2" t="s">
        <v>194</v>
      </c>
    </row>
    <row r="26" spans="2:13" x14ac:dyDescent="0.25">
      <c r="B26" s="2" t="s">
        <v>40</v>
      </c>
      <c r="I26" s="10" t="s">
        <v>197</v>
      </c>
      <c r="J26" s="10" t="s">
        <v>198</v>
      </c>
    </row>
    <row r="27" spans="2:13" x14ac:dyDescent="0.25">
      <c r="H27" s="2" t="s">
        <v>195</v>
      </c>
      <c r="I27" s="18">
        <f>PI()</f>
        <v>3.1415926535897931</v>
      </c>
      <c r="J27" s="18">
        <f>ROUND(I27,2)</f>
        <v>3.14</v>
      </c>
      <c r="K27" s="4" t="s">
        <v>244</v>
      </c>
      <c r="M27" s="4" t="s">
        <v>245</v>
      </c>
    </row>
    <row r="28" spans="2:13" x14ac:dyDescent="0.25">
      <c r="B28" t="str">
        <f>'1 Práce s listy'!B7</f>
        <v>Petr</v>
      </c>
      <c r="D28">
        <v>42</v>
      </c>
      <c r="H28" s="2" t="s">
        <v>196</v>
      </c>
      <c r="I28" s="9">
        <v>1722519443975</v>
      </c>
      <c r="J28" s="9">
        <f>ROUND(I28,-6)</f>
        <v>1722519000000</v>
      </c>
    </row>
    <row r="29" spans="2:13" x14ac:dyDescent="0.25">
      <c r="B29" t="str">
        <f>'1 Práce s listy'!B8</f>
        <v>Hynek</v>
      </c>
      <c r="I29" s="17">
        <v>3.1415920000000002</v>
      </c>
      <c r="J29" s="18">
        <f>ROUND(I29,0)</f>
        <v>3</v>
      </c>
    </row>
    <row r="30" spans="2:13" x14ac:dyDescent="0.25">
      <c r="B30" t="str">
        <f>'1 Práce s listy'!B9</f>
        <v>Iveta</v>
      </c>
    </row>
    <row r="31" spans="2:13" x14ac:dyDescent="0.25">
      <c r="B31" t="str">
        <f>'1 Práce s listy'!B10</f>
        <v>Jonáš</v>
      </c>
    </row>
    <row r="32" spans="2:13" x14ac:dyDescent="0.25">
      <c r="B32" t="str">
        <f>'1 Práce s listy'!B11</f>
        <v>Bára</v>
      </c>
    </row>
    <row r="33" spans="2:2" x14ac:dyDescent="0.25">
      <c r="B33" t="str">
        <f>'1 Práce s listy'!B12</f>
        <v>Cyril</v>
      </c>
    </row>
    <row r="34" spans="2:2" x14ac:dyDescent="0.25">
      <c r="B34" t="str">
        <f>'1 Práce s listy'!B13</f>
        <v>David</v>
      </c>
    </row>
    <row r="35" spans="2:2" x14ac:dyDescent="0.25">
      <c r="B35" t="str">
        <f>'1 Práce s listy'!B14</f>
        <v>Eva</v>
      </c>
    </row>
    <row r="36" spans="2:2" x14ac:dyDescent="0.25">
      <c r="B36" t="str">
        <f>'1 Práce s listy'!B15</f>
        <v>František</v>
      </c>
    </row>
    <row r="37" spans="2:2" x14ac:dyDescent="0.25">
      <c r="B37" t="str">
        <f>'1 Práce s listy'!B16</f>
        <v>Gábina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G14"/>
  <sheetViews>
    <sheetView topLeftCell="A2" workbookViewId="0">
      <selection activeCell="G14" sqref="G14"/>
    </sheetView>
  </sheetViews>
  <sheetFormatPr defaultRowHeight="15" x14ac:dyDescent="0.25"/>
  <cols>
    <col min="1" max="1" width="23.42578125" customWidth="1"/>
    <col min="2" max="2" width="18.5703125" customWidth="1"/>
    <col min="3" max="3" width="16.5703125" customWidth="1"/>
    <col min="4" max="4" width="17.140625" customWidth="1"/>
    <col min="5" max="5" width="13.28515625" customWidth="1"/>
    <col min="6" max="6" width="16.5703125" customWidth="1"/>
  </cols>
  <sheetData>
    <row r="3" spans="1:7" x14ac:dyDescent="0.25">
      <c r="B3" s="2" t="s">
        <v>55</v>
      </c>
      <c r="C3" s="2" t="s">
        <v>56</v>
      </c>
      <c r="D3" s="2" t="s">
        <v>63</v>
      </c>
      <c r="E3" s="2" t="s">
        <v>62</v>
      </c>
      <c r="F3" s="2" t="s">
        <v>64</v>
      </c>
      <c r="G3" s="2" t="s">
        <v>256</v>
      </c>
    </row>
    <row r="4" spans="1:7" x14ac:dyDescent="0.25">
      <c r="A4" t="s">
        <v>57</v>
      </c>
      <c r="B4" s="3">
        <v>14440</v>
      </c>
      <c r="C4">
        <f>WEEKDAY(B4,2)</f>
        <v>5</v>
      </c>
      <c r="D4">
        <f>WEEKNUM(B4,21)</f>
        <v>28</v>
      </c>
      <c r="E4">
        <f>DAY(B4)</f>
        <v>14</v>
      </c>
      <c r="F4">
        <f>MONTH(B4)</f>
        <v>7</v>
      </c>
      <c r="G4">
        <f>YEAR(B4)</f>
        <v>1939</v>
      </c>
    </row>
    <row r="5" spans="1:7" x14ac:dyDescent="0.25">
      <c r="A5" t="s">
        <v>58</v>
      </c>
      <c r="B5" s="3">
        <v>22497</v>
      </c>
      <c r="C5">
        <f>WEEKDAY(B5,2)</f>
        <v>5</v>
      </c>
      <c r="D5">
        <f>WEEKNUM(B5,21)</f>
        <v>31</v>
      </c>
      <c r="E5">
        <f>DAY(B5)</f>
        <v>4</v>
      </c>
      <c r="F5">
        <f>MONTH(B5)</f>
        <v>8</v>
      </c>
      <c r="G5">
        <f>YEAR(B5)</f>
        <v>1961</v>
      </c>
    </row>
    <row r="6" spans="1:7" x14ac:dyDescent="0.25">
      <c r="A6" t="s">
        <v>59</v>
      </c>
      <c r="B6" s="3">
        <v>32940</v>
      </c>
      <c r="C6">
        <f>WEEKDAY(B6,2)</f>
        <v>4</v>
      </c>
      <c r="D6">
        <f>WEEKNUM(B6,21)</f>
        <v>10</v>
      </c>
      <c r="E6">
        <f>DAY(B6)</f>
        <v>8</v>
      </c>
      <c r="F6">
        <f>MONTH(B6)</f>
        <v>3</v>
      </c>
      <c r="G6">
        <f>YEAR(B6)</f>
        <v>1990</v>
      </c>
    </row>
    <row r="7" spans="1:7" x14ac:dyDescent="0.25">
      <c r="A7" t="s">
        <v>60</v>
      </c>
      <c r="B7" s="3">
        <v>33970</v>
      </c>
      <c r="C7">
        <f>WEEKDAY(B7,2)</f>
        <v>5</v>
      </c>
      <c r="D7">
        <f>WEEKNUM(B7,21)</f>
        <v>53</v>
      </c>
      <c r="E7">
        <f>DAY(B7)</f>
        <v>1</v>
      </c>
      <c r="F7">
        <f>MONTH(B7)</f>
        <v>1</v>
      </c>
      <c r="G7">
        <f>YEAR(B7)</f>
        <v>1993</v>
      </c>
    </row>
    <row r="8" spans="1:7" x14ac:dyDescent="0.25">
      <c r="A8" t="s">
        <v>61</v>
      </c>
      <c r="B8" s="3">
        <f ca="1">TODAY()</f>
        <v>42758</v>
      </c>
      <c r="C8">
        <f ca="1">WEEKDAY(B8,2)</f>
        <v>1</v>
      </c>
      <c r="D8">
        <f ca="1">WEEKNUM(B8,21)</f>
        <v>4</v>
      </c>
      <c r="E8">
        <f ca="1">DAY(B8)</f>
        <v>23</v>
      </c>
      <c r="F8">
        <f ca="1">MONTH(B8)</f>
        <v>1</v>
      </c>
      <c r="G8">
        <f ca="1">YEAR(B8)</f>
        <v>2017</v>
      </c>
    </row>
    <row r="9" spans="1:7" x14ac:dyDescent="0.25">
      <c r="B9" s="3"/>
    </row>
    <row r="10" spans="1:7" x14ac:dyDescent="0.25">
      <c r="B10" s="4" t="s">
        <v>246</v>
      </c>
      <c r="C10" s="4" t="s">
        <v>248</v>
      </c>
      <c r="D10" s="4" t="s">
        <v>250</v>
      </c>
      <c r="E10" s="4" t="s">
        <v>252</v>
      </c>
      <c r="F10" s="4" t="s">
        <v>254</v>
      </c>
      <c r="G10" s="4" t="s">
        <v>257</v>
      </c>
    </row>
    <row r="11" spans="1:7" x14ac:dyDescent="0.25">
      <c r="B11" s="4" t="s">
        <v>247</v>
      </c>
      <c r="C11" s="4" t="s">
        <v>249</v>
      </c>
      <c r="D11" s="4" t="s">
        <v>251</v>
      </c>
      <c r="E11" s="4" t="s">
        <v>253</v>
      </c>
      <c r="F11" s="4" t="s">
        <v>255</v>
      </c>
      <c r="G11" s="4" t="s">
        <v>258</v>
      </c>
    </row>
    <row r="14" spans="1:7" x14ac:dyDescent="0.25">
      <c r="B14" s="4" t="s">
        <v>259</v>
      </c>
      <c r="C14" t="s">
        <v>260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B3:I38"/>
  <sheetViews>
    <sheetView topLeftCell="A13" workbookViewId="0">
      <selection activeCell="C29" sqref="C29"/>
    </sheetView>
  </sheetViews>
  <sheetFormatPr defaultRowHeight="15" x14ac:dyDescent="0.25"/>
  <cols>
    <col min="2" max="2" width="20.85546875" customWidth="1"/>
    <col min="3" max="3" width="15.7109375" customWidth="1"/>
    <col min="8" max="8" width="35.85546875" customWidth="1"/>
    <col min="9" max="9" width="36.5703125" customWidth="1"/>
  </cols>
  <sheetData>
    <row r="3" spans="2:9" x14ac:dyDescent="0.25">
      <c r="B3" s="2" t="s">
        <v>73</v>
      </c>
      <c r="H3" s="2" t="s">
        <v>190</v>
      </c>
      <c r="I3" s="2" t="s">
        <v>191</v>
      </c>
    </row>
    <row r="4" spans="2:9" x14ac:dyDescent="0.25">
      <c r="B4" s="2"/>
      <c r="H4" s="20" t="s">
        <v>274</v>
      </c>
      <c r="I4" s="20" t="s">
        <v>277</v>
      </c>
    </row>
    <row r="5" spans="2:9" x14ac:dyDescent="0.25">
      <c r="B5" s="2"/>
      <c r="H5" s="20" t="s">
        <v>275</v>
      </c>
      <c r="I5" s="20" t="s">
        <v>278</v>
      </c>
    </row>
    <row r="6" spans="2:9" x14ac:dyDescent="0.25">
      <c r="B6" s="2"/>
      <c r="H6" s="2"/>
      <c r="I6" s="20" t="s">
        <v>279</v>
      </c>
    </row>
    <row r="7" spans="2:9" x14ac:dyDescent="0.25">
      <c r="B7" s="2"/>
      <c r="H7" s="2"/>
      <c r="I7" s="20" t="s">
        <v>280</v>
      </c>
    </row>
    <row r="8" spans="2:9" x14ac:dyDescent="0.25">
      <c r="B8" s="2"/>
      <c r="H8" s="2"/>
      <c r="I8" s="2"/>
    </row>
    <row r="10" spans="2:9" x14ac:dyDescent="0.25">
      <c r="B10" s="2" t="s">
        <v>65</v>
      </c>
      <c r="C10" s="2" t="s">
        <v>71</v>
      </c>
      <c r="D10" s="2" t="s">
        <v>261</v>
      </c>
      <c r="E10" s="2"/>
      <c r="F10" s="2" t="s">
        <v>265</v>
      </c>
      <c r="H10" s="2" t="s">
        <v>188</v>
      </c>
      <c r="I10" s="2" t="s">
        <v>192</v>
      </c>
    </row>
    <row r="11" spans="2:9" x14ac:dyDescent="0.25">
      <c r="B11" t="s">
        <v>66</v>
      </c>
      <c r="C11" s="1" t="s">
        <v>0</v>
      </c>
      <c r="D11" t="str">
        <f t="shared" ref="D11:D16" si="0">LEFT(C11,3)</f>
        <v>Pra</v>
      </c>
      <c r="E11" s="4" t="s">
        <v>262</v>
      </c>
      <c r="F11" s="4" t="s">
        <v>263</v>
      </c>
      <c r="G11" s="4" t="s">
        <v>264</v>
      </c>
      <c r="H11" t="s">
        <v>187</v>
      </c>
      <c r="I11" t="str">
        <f>UPPER(H11)</f>
        <v>HRANOLKY, JABLKO, SMAŽENÝ SÝR, BŮČEK</v>
      </c>
    </row>
    <row r="12" spans="2:9" x14ac:dyDescent="0.25">
      <c r="B12" t="s">
        <v>67</v>
      </c>
      <c r="C12" t="s">
        <v>0</v>
      </c>
      <c r="D12" t="str">
        <f t="shared" si="0"/>
        <v>Pra</v>
      </c>
      <c r="I12" t="str">
        <f>PROPER(I14)</f>
        <v>Hranolky, Jablko, Smažený Sýr, Bůček</v>
      </c>
    </row>
    <row r="13" spans="2:9" x14ac:dyDescent="0.25">
      <c r="B13" t="s">
        <v>70</v>
      </c>
      <c r="C13" t="s">
        <v>0</v>
      </c>
      <c r="D13" t="str">
        <f t="shared" si="0"/>
        <v>Pra</v>
      </c>
      <c r="H13" s="2" t="s">
        <v>189</v>
      </c>
      <c r="I13" s="2" t="s">
        <v>193</v>
      </c>
    </row>
    <row r="14" spans="2:9" x14ac:dyDescent="0.25">
      <c r="B14" t="s">
        <v>72</v>
      </c>
      <c r="C14" t="s">
        <v>1</v>
      </c>
      <c r="D14" t="str">
        <f t="shared" si="0"/>
        <v>Brn</v>
      </c>
      <c r="H14" t="str">
        <f>SUBSTITUTE(H11,",",";")</f>
        <v>Hranolky; Jablko; Smažený sýr; Bůček</v>
      </c>
      <c r="I14" t="str">
        <f>LOWER(H11)</f>
        <v>hranolky, jablko, smažený sýr, bůček</v>
      </c>
    </row>
    <row r="15" spans="2:9" x14ac:dyDescent="0.25">
      <c r="B15" t="s">
        <v>68</v>
      </c>
      <c r="C15" t="s">
        <v>1</v>
      </c>
      <c r="D15" t="str">
        <f t="shared" si="0"/>
        <v>Brn</v>
      </c>
    </row>
    <row r="16" spans="2:9" x14ac:dyDescent="0.25">
      <c r="B16" t="s">
        <v>69</v>
      </c>
      <c r="C16" t="s">
        <v>6</v>
      </c>
      <c r="D16" t="str">
        <f t="shared" si="0"/>
        <v>Rum</v>
      </c>
      <c r="H16" s="2" t="s">
        <v>276</v>
      </c>
    </row>
    <row r="17" spans="2:9" x14ac:dyDescent="0.25">
      <c r="H17" t="str">
        <f>SUBSTITUTE(H14,"Jablko","Hruška")</f>
        <v>Hranolky; Hruška; Smažený sýr; Bůček</v>
      </c>
      <c r="I17">
        <f>LEN(H17)</f>
        <v>36</v>
      </c>
    </row>
    <row r="18" spans="2:9" x14ac:dyDescent="0.25">
      <c r="E18" s="4" t="s">
        <v>269</v>
      </c>
      <c r="F18" s="4" t="s">
        <v>270</v>
      </c>
    </row>
    <row r="19" spans="2:9" x14ac:dyDescent="0.25">
      <c r="B19" s="2" t="s">
        <v>80</v>
      </c>
      <c r="C19" s="2" t="s">
        <v>86</v>
      </c>
      <c r="D19" s="2"/>
      <c r="E19" s="2"/>
      <c r="F19" s="2"/>
      <c r="G19" s="2"/>
      <c r="H19" s="2" t="s">
        <v>281</v>
      </c>
    </row>
    <row r="20" spans="2:9" x14ac:dyDescent="0.25">
      <c r="B20" s="1" t="s">
        <v>81</v>
      </c>
      <c r="C20" t="str">
        <f>RIGHT(B20)</f>
        <v>V</v>
      </c>
      <c r="E20" s="4" t="s">
        <v>266</v>
      </c>
      <c r="F20" s="4" t="s">
        <v>267</v>
      </c>
      <c r="G20" s="4" t="s">
        <v>268</v>
      </c>
      <c r="H20" s="20" t="s">
        <v>282</v>
      </c>
    </row>
    <row r="21" spans="2:9" x14ac:dyDescent="0.25">
      <c r="B21" t="s">
        <v>82</v>
      </c>
      <c r="C21" t="str">
        <f>RIGHT(B21)</f>
        <v>P</v>
      </c>
      <c r="H21" s="4" t="s">
        <v>283</v>
      </c>
    </row>
    <row r="22" spans="2:9" x14ac:dyDescent="0.25">
      <c r="B22" t="s">
        <v>83</v>
      </c>
      <c r="C22" t="str">
        <f>RIGHT(B22)</f>
        <v>V</v>
      </c>
    </row>
    <row r="23" spans="2:9" x14ac:dyDescent="0.25">
      <c r="B23" t="s">
        <v>84</v>
      </c>
      <c r="C23" t="str">
        <f>RIGHT(B23)</f>
        <v>V</v>
      </c>
      <c r="H23" t="s">
        <v>8</v>
      </c>
      <c r="I23">
        <f>LEN(H23)</f>
        <v>4</v>
      </c>
    </row>
    <row r="24" spans="2:9" x14ac:dyDescent="0.25">
      <c r="B24" t="s">
        <v>85</v>
      </c>
      <c r="C24" t="str">
        <f>RIGHT(B24)</f>
        <v>E</v>
      </c>
      <c r="H24" t="s">
        <v>10</v>
      </c>
      <c r="I24">
        <f>LEN(H24)</f>
        <v>5</v>
      </c>
    </row>
    <row r="25" spans="2:9" x14ac:dyDescent="0.25">
      <c r="H25" t="s">
        <v>12</v>
      </c>
      <c r="I25">
        <f>LEN(H25)</f>
        <v>3</v>
      </c>
    </row>
    <row r="26" spans="2:9" x14ac:dyDescent="0.25">
      <c r="B26" s="2" t="s">
        <v>79</v>
      </c>
    </row>
    <row r="27" spans="2:9" x14ac:dyDescent="0.25">
      <c r="H27" s="2"/>
    </row>
    <row r="28" spans="2:9" x14ac:dyDescent="0.25">
      <c r="B28" s="2" t="s">
        <v>74</v>
      </c>
      <c r="C28" s="2" t="s">
        <v>273</v>
      </c>
    </row>
    <row r="29" spans="2:9" x14ac:dyDescent="0.25">
      <c r="B29" t="s">
        <v>75</v>
      </c>
      <c r="C29">
        <f>SEARCH("Triko",B29)</f>
        <v>1</v>
      </c>
      <c r="E29" s="4" t="s">
        <v>271</v>
      </c>
      <c r="F29" s="4" t="s">
        <v>272</v>
      </c>
    </row>
    <row r="30" spans="2:9" x14ac:dyDescent="0.25">
      <c r="B30" t="s">
        <v>76</v>
      </c>
      <c r="C30">
        <f>SEARCH("Triko",B30)</f>
        <v>1</v>
      </c>
    </row>
    <row r="31" spans="2:9" x14ac:dyDescent="0.25">
      <c r="B31" t="s">
        <v>77</v>
      </c>
      <c r="C31" t="e">
        <f>SEARCH("Triko",B31)</f>
        <v>#VALUE!</v>
      </c>
    </row>
    <row r="32" spans="2:9" x14ac:dyDescent="0.25">
      <c r="B32" t="s">
        <v>78</v>
      </c>
      <c r="C32">
        <f>SEARCH("Triko",B32)</f>
        <v>1</v>
      </c>
    </row>
    <row r="34" spans="2:6" x14ac:dyDescent="0.25">
      <c r="B34" s="2" t="s">
        <v>284</v>
      </c>
    </row>
    <row r="35" spans="2:6" x14ac:dyDescent="0.25">
      <c r="B35" t="s">
        <v>8</v>
      </c>
      <c r="C35" t="s">
        <v>285</v>
      </c>
      <c r="D35" t="str">
        <f>C35&amp;" "&amp;B35</f>
        <v>Novák Adam</v>
      </c>
      <c r="F35" t="str">
        <f>CONCATENATE(C35," ",B35)</f>
        <v>Novák Adam</v>
      </c>
    </row>
    <row r="36" spans="2:6" x14ac:dyDescent="0.25">
      <c r="B36" t="s">
        <v>286</v>
      </c>
      <c r="C36" t="s">
        <v>287</v>
      </c>
      <c r="D36" t="str">
        <f>C36&amp;" "&amp;B36</f>
        <v>Novotná Barbora</v>
      </c>
      <c r="F36" t="str">
        <f>CONCATENATE(C36," ",B36)</f>
        <v>Novotná Barbora</v>
      </c>
    </row>
    <row r="38" spans="2:6" x14ac:dyDescent="0.25">
      <c r="B38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D4:G17"/>
  <sheetViews>
    <sheetView workbookViewId="0">
      <selection activeCell="G17" sqref="G17"/>
    </sheetView>
  </sheetViews>
  <sheetFormatPr defaultRowHeight="15" x14ac:dyDescent="0.25"/>
  <cols>
    <col min="4" max="4" width="19.28515625" bestFit="1" customWidth="1"/>
    <col min="6" max="6" width="15" customWidth="1"/>
  </cols>
  <sheetData>
    <row r="4" spans="4:7" x14ac:dyDescent="0.25">
      <c r="D4" s="2" t="s">
        <v>65</v>
      </c>
    </row>
    <row r="5" spans="4:7" x14ac:dyDescent="0.25">
      <c r="D5" t="s">
        <v>66</v>
      </c>
      <c r="E5" t="s">
        <v>289</v>
      </c>
    </row>
    <row r="6" spans="4:7" x14ac:dyDescent="0.25">
      <c r="D6" t="s">
        <v>67</v>
      </c>
      <c r="E6" t="s">
        <v>290</v>
      </c>
    </row>
    <row r="7" spans="4:7" x14ac:dyDescent="0.25">
      <c r="D7" t="s">
        <v>70</v>
      </c>
      <c r="E7" t="s">
        <v>291</v>
      </c>
    </row>
    <row r="8" spans="4:7" x14ac:dyDescent="0.25">
      <c r="D8" t="s">
        <v>72</v>
      </c>
      <c r="E8" t="s">
        <v>292</v>
      </c>
    </row>
    <row r="9" spans="4:7" x14ac:dyDescent="0.25">
      <c r="D9" t="s">
        <v>68</v>
      </c>
      <c r="E9" t="s">
        <v>293</v>
      </c>
    </row>
    <row r="10" spans="4:7" x14ac:dyDescent="0.25">
      <c r="D10" t="s">
        <v>69</v>
      </c>
      <c r="E10" t="s">
        <v>294</v>
      </c>
    </row>
    <row r="13" spans="4:7" x14ac:dyDescent="0.25">
      <c r="D13" s="2" t="s">
        <v>74</v>
      </c>
      <c r="E13" t="s">
        <v>300</v>
      </c>
      <c r="F13" t="s">
        <v>299</v>
      </c>
    </row>
    <row r="14" spans="4:7" x14ac:dyDescent="0.25">
      <c r="D14" t="s">
        <v>75</v>
      </c>
      <c r="E14" t="s">
        <v>295</v>
      </c>
      <c r="F14" t="s">
        <v>301</v>
      </c>
      <c r="G14" t="s">
        <v>305</v>
      </c>
    </row>
    <row r="15" spans="4:7" x14ac:dyDescent="0.25">
      <c r="D15" t="s">
        <v>76</v>
      </c>
      <c r="E15" t="s">
        <v>296</v>
      </c>
      <c r="F15" t="s">
        <v>302</v>
      </c>
      <c r="G15" t="s">
        <v>306</v>
      </c>
    </row>
    <row r="16" spans="4:7" x14ac:dyDescent="0.25">
      <c r="D16" t="s">
        <v>77</v>
      </c>
      <c r="E16" t="s">
        <v>297</v>
      </c>
      <c r="F16" t="s">
        <v>303</v>
      </c>
      <c r="G16" t="s">
        <v>307</v>
      </c>
    </row>
    <row r="17" spans="4:7" x14ac:dyDescent="0.25">
      <c r="D17" t="s">
        <v>78</v>
      </c>
      <c r="E17" t="s">
        <v>298</v>
      </c>
      <c r="F17" t="s">
        <v>304</v>
      </c>
      <c r="G17" t="s">
        <v>308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B2:K35"/>
  <sheetViews>
    <sheetView workbookViewId="0">
      <selection activeCell="E13" sqref="E13"/>
    </sheetView>
  </sheetViews>
  <sheetFormatPr defaultRowHeight="15" x14ac:dyDescent="0.25"/>
  <cols>
    <col min="2" max="2" width="17.42578125" customWidth="1"/>
    <col min="3" max="4" width="13.42578125" customWidth="1"/>
    <col min="5" max="5" width="20.5703125" bestFit="1" customWidth="1"/>
    <col min="6" max="6" width="21.140625" bestFit="1" customWidth="1"/>
  </cols>
  <sheetData>
    <row r="2" spans="2:11" x14ac:dyDescent="0.25">
      <c r="C2" s="2" t="s">
        <v>87</v>
      </c>
      <c r="D2" s="2" t="s">
        <v>88</v>
      </c>
      <c r="E2" s="2" t="s">
        <v>89</v>
      </c>
      <c r="F2" s="2" t="s">
        <v>90</v>
      </c>
    </row>
    <row r="3" spans="2:11" x14ac:dyDescent="0.25">
      <c r="B3" t="s">
        <v>8</v>
      </c>
      <c r="C3" t="b">
        <v>1</v>
      </c>
      <c r="D3" t="b">
        <v>1</v>
      </c>
      <c r="E3" t="b">
        <f>OR(C3,D3)</f>
        <v>1</v>
      </c>
      <c r="F3" t="b">
        <f>AND(C3,D3)</f>
        <v>1</v>
      </c>
      <c r="H3" s="4" t="s">
        <v>309</v>
      </c>
      <c r="I3" s="4" t="s">
        <v>310</v>
      </c>
      <c r="J3" s="4" t="s">
        <v>311</v>
      </c>
      <c r="K3" s="4" t="s">
        <v>312</v>
      </c>
    </row>
    <row r="4" spans="2:11" x14ac:dyDescent="0.25">
      <c r="B4" t="s">
        <v>9</v>
      </c>
      <c r="C4" t="b">
        <v>1</v>
      </c>
      <c r="D4" t="b">
        <v>0</v>
      </c>
      <c r="E4" t="b">
        <f t="shared" ref="E4:E12" si="0">OR(C4,D4)</f>
        <v>1</v>
      </c>
      <c r="F4" t="b">
        <f t="shared" ref="F4:F12" si="1">AND(C4,D4)</f>
        <v>0</v>
      </c>
    </row>
    <row r="5" spans="2:11" x14ac:dyDescent="0.25">
      <c r="B5" t="s">
        <v>10</v>
      </c>
      <c r="C5" t="b">
        <v>0</v>
      </c>
      <c r="D5" t="b">
        <v>0</v>
      </c>
      <c r="E5" t="b">
        <f t="shared" si="0"/>
        <v>0</v>
      </c>
      <c r="F5" t="b">
        <f t="shared" si="1"/>
        <v>0</v>
      </c>
    </row>
    <row r="6" spans="2:11" x14ac:dyDescent="0.25">
      <c r="B6" t="s">
        <v>11</v>
      </c>
      <c r="C6" t="b">
        <v>0</v>
      </c>
      <c r="D6" t="b">
        <v>1</v>
      </c>
      <c r="E6" t="b">
        <f t="shared" si="0"/>
        <v>1</v>
      </c>
      <c r="F6" t="b">
        <f t="shared" si="1"/>
        <v>0</v>
      </c>
    </row>
    <row r="7" spans="2:11" x14ac:dyDescent="0.25">
      <c r="B7" t="s">
        <v>12</v>
      </c>
      <c r="C7" t="b">
        <v>1</v>
      </c>
      <c r="D7" t="b">
        <v>1</v>
      </c>
      <c r="E7" t="b">
        <f t="shared" si="0"/>
        <v>1</v>
      </c>
      <c r="F7" t="b">
        <f t="shared" si="1"/>
        <v>1</v>
      </c>
    </row>
    <row r="8" spans="2:11" x14ac:dyDescent="0.25">
      <c r="B8" t="s">
        <v>13</v>
      </c>
      <c r="C8" t="b">
        <v>0</v>
      </c>
      <c r="D8" t="b">
        <v>1</v>
      </c>
      <c r="E8" t="b">
        <f t="shared" si="0"/>
        <v>1</v>
      </c>
      <c r="F8" t="b">
        <f t="shared" si="1"/>
        <v>0</v>
      </c>
    </row>
    <row r="9" spans="2:11" x14ac:dyDescent="0.25">
      <c r="B9" t="s">
        <v>14</v>
      </c>
      <c r="C9" t="b">
        <v>1</v>
      </c>
      <c r="D9" t="b">
        <v>0</v>
      </c>
      <c r="E9" t="b">
        <f t="shared" si="0"/>
        <v>1</v>
      </c>
      <c r="F9" t="b">
        <f t="shared" si="1"/>
        <v>0</v>
      </c>
    </row>
    <row r="10" spans="2:11" x14ac:dyDescent="0.25">
      <c r="B10" t="s">
        <v>15</v>
      </c>
      <c r="C10" t="b">
        <v>1</v>
      </c>
      <c r="D10" t="b">
        <v>1</v>
      </c>
      <c r="E10" t="b">
        <f t="shared" si="0"/>
        <v>1</v>
      </c>
      <c r="F10" t="b">
        <f t="shared" si="1"/>
        <v>1</v>
      </c>
    </row>
    <row r="11" spans="2:11" x14ac:dyDescent="0.25">
      <c r="B11" t="s">
        <v>16</v>
      </c>
      <c r="C11" t="b">
        <v>0</v>
      </c>
      <c r="D11" t="b">
        <v>1</v>
      </c>
      <c r="E11" t="b">
        <f t="shared" si="0"/>
        <v>1</v>
      </c>
      <c r="F11" t="b">
        <f t="shared" si="1"/>
        <v>0</v>
      </c>
    </row>
    <row r="12" spans="2:11" x14ac:dyDescent="0.25">
      <c r="B12" t="s">
        <v>17</v>
      </c>
      <c r="C12" t="b">
        <v>1</v>
      </c>
      <c r="D12" t="b">
        <v>1</v>
      </c>
      <c r="E12" t="b">
        <f t="shared" si="0"/>
        <v>1</v>
      </c>
      <c r="F12" t="b">
        <f t="shared" si="1"/>
        <v>1</v>
      </c>
    </row>
    <row r="15" spans="2:11" x14ac:dyDescent="0.25">
      <c r="B15" s="2" t="s">
        <v>91</v>
      </c>
      <c r="C15" s="2" t="s">
        <v>97</v>
      </c>
    </row>
    <row r="16" spans="2:11" x14ac:dyDescent="0.25">
      <c r="B16" s="1" t="s">
        <v>92</v>
      </c>
      <c r="C16" t="str">
        <f t="shared" ref="C16:C21" si="2">IF(B16="Jablko","Zdravé","Nezdravé")</f>
        <v>Nezdravé</v>
      </c>
      <c r="E16" s="4" t="s">
        <v>314</v>
      </c>
      <c r="F16" s="4" t="s">
        <v>315</v>
      </c>
    </row>
    <row r="17" spans="2:4" x14ac:dyDescent="0.25">
      <c r="B17" t="s">
        <v>93</v>
      </c>
      <c r="C17" t="str">
        <f t="shared" si="2"/>
        <v>Zdravé</v>
      </c>
    </row>
    <row r="18" spans="2:4" x14ac:dyDescent="0.25">
      <c r="B18" t="s">
        <v>94</v>
      </c>
      <c r="C18" t="str">
        <f t="shared" si="2"/>
        <v>Nezdravé</v>
      </c>
    </row>
    <row r="19" spans="2:4" x14ac:dyDescent="0.25">
      <c r="B19" t="s">
        <v>93</v>
      </c>
      <c r="C19" t="str">
        <f t="shared" si="2"/>
        <v>Zdravé</v>
      </c>
    </row>
    <row r="20" spans="2:4" x14ac:dyDescent="0.25">
      <c r="B20" t="s">
        <v>95</v>
      </c>
      <c r="C20" t="str">
        <f t="shared" si="2"/>
        <v>Nezdravé</v>
      </c>
    </row>
    <row r="21" spans="2:4" x14ac:dyDescent="0.25">
      <c r="B21" t="s">
        <v>96</v>
      </c>
      <c r="C21" t="str">
        <f t="shared" si="2"/>
        <v>Nezdravé</v>
      </c>
    </row>
    <row r="24" spans="2:4" x14ac:dyDescent="0.25">
      <c r="B24" s="2" t="s">
        <v>87</v>
      </c>
    </row>
    <row r="26" spans="2:4" x14ac:dyDescent="0.25">
      <c r="B26" s="2" t="s">
        <v>313</v>
      </c>
      <c r="C26">
        <v>50</v>
      </c>
    </row>
    <row r="27" spans="2:4" x14ac:dyDescent="0.25">
      <c r="B27" s="2" t="s">
        <v>316</v>
      </c>
      <c r="C27">
        <v>90</v>
      </c>
    </row>
    <row r="29" spans="2:4" x14ac:dyDescent="0.25">
      <c r="B29" s="2" t="s">
        <v>98</v>
      </c>
      <c r="C29" s="2" t="s">
        <v>99</v>
      </c>
      <c r="D29" s="2" t="s">
        <v>102</v>
      </c>
    </row>
    <row r="30" spans="2:4" x14ac:dyDescent="0.25">
      <c r="B30" t="s">
        <v>15</v>
      </c>
      <c r="C30">
        <v>20</v>
      </c>
      <c r="D30" t="str">
        <f t="shared" ref="D30:D35" si="3">IF(C30&gt;=$C$26,IF(C30&gt;=$C$27,"Splnil s vyznamenáním","Splnil"),"Nesplnil")</f>
        <v>Nesplnil</v>
      </c>
    </row>
    <row r="31" spans="2:4" x14ac:dyDescent="0.25">
      <c r="B31" t="s">
        <v>100</v>
      </c>
      <c r="C31">
        <v>50</v>
      </c>
      <c r="D31" t="str">
        <f t="shared" si="3"/>
        <v>Splnil</v>
      </c>
    </row>
    <row r="32" spans="2:4" x14ac:dyDescent="0.25">
      <c r="B32" t="s">
        <v>101</v>
      </c>
      <c r="C32">
        <v>60</v>
      </c>
      <c r="D32" t="str">
        <f t="shared" si="3"/>
        <v>Splnil</v>
      </c>
    </row>
    <row r="33" spans="2:4" x14ac:dyDescent="0.25">
      <c r="B33" t="s">
        <v>8</v>
      </c>
      <c r="C33">
        <v>99</v>
      </c>
      <c r="D33" t="str">
        <f t="shared" si="3"/>
        <v>Splnil s vyznamenáním</v>
      </c>
    </row>
    <row r="34" spans="2:4" x14ac:dyDescent="0.25">
      <c r="B34" t="s">
        <v>9</v>
      </c>
      <c r="C34">
        <v>28</v>
      </c>
      <c r="D34" t="str">
        <f t="shared" si="3"/>
        <v>Nesplnil</v>
      </c>
    </row>
    <row r="35" spans="2:4" x14ac:dyDescent="0.25">
      <c r="B35" t="s">
        <v>10</v>
      </c>
      <c r="C35">
        <v>75</v>
      </c>
      <c r="D35" t="str">
        <f t="shared" si="3"/>
        <v>Splnil</v>
      </c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B2:G24"/>
  <sheetViews>
    <sheetView workbookViewId="0">
      <selection activeCell="C7" sqref="C7"/>
    </sheetView>
  </sheetViews>
  <sheetFormatPr defaultRowHeight="15" x14ac:dyDescent="0.25"/>
  <cols>
    <col min="1" max="1" width="3.85546875" customWidth="1"/>
    <col min="2" max="2" width="19.28515625" customWidth="1"/>
    <col min="3" max="3" width="29.5703125" customWidth="1"/>
    <col min="4" max="5" width="22.42578125" customWidth="1"/>
    <col min="7" max="7" width="17.140625" customWidth="1"/>
  </cols>
  <sheetData>
    <row r="2" spans="2:7" x14ac:dyDescent="0.25">
      <c r="C2" s="2" t="s">
        <v>103</v>
      </c>
      <c r="D2" s="2" t="s">
        <v>102</v>
      </c>
      <c r="E2" s="2"/>
      <c r="G2" s="2" t="s">
        <v>104</v>
      </c>
    </row>
    <row r="3" spans="2:7" x14ac:dyDescent="0.25">
      <c r="B3" t="s">
        <v>8</v>
      </c>
      <c r="C3" s="21">
        <v>23</v>
      </c>
      <c r="D3" t="str">
        <f>IF(C3&gt;=$G$3,"Splněno","Nesplněno")</f>
        <v>Nesplněno</v>
      </c>
      <c r="G3" s="21">
        <v>50</v>
      </c>
    </row>
    <row r="4" spans="2:7" x14ac:dyDescent="0.25">
      <c r="B4" t="s">
        <v>9</v>
      </c>
      <c r="C4" s="21">
        <v>30</v>
      </c>
      <c r="D4" t="str">
        <f t="shared" ref="D4:D12" si="0">IF(C4&gt;=$G$3,"Splněno","Nesplněno")</f>
        <v>Nesplněno</v>
      </c>
    </row>
    <row r="5" spans="2:7" x14ac:dyDescent="0.25">
      <c r="B5" t="s">
        <v>10</v>
      </c>
      <c r="C5" s="21">
        <v>10</v>
      </c>
      <c r="D5" t="str">
        <f t="shared" si="0"/>
        <v>Nesplněno</v>
      </c>
    </row>
    <row r="6" spans="2:7" x14ac:dyDescent="0.25">
      <c r="B6" t="s">
        <v>11</v>
      </c>
      <c r="C6" s="21">
        <v>25</v>
      </c>
      <c r="D6" t="str">
        <f t="shared" si="0"/>
        <v>Nesplněno</v>
      </c>
    </row>
    <row r="7" spans="2:7" x14ac:dyDescent="0.25">
      <c r="B7" t="s">
        <v>12</v>
      </c>
      <c r="C7" s="21">
        <v>1</v>
      </c>
      <c r="D7" t="str">
        <f t="shared" si="0"/>
        <v>Nesplněno</v>
      </c>
    </row>
    <row r="8" spans="2:7" x14ac:dyDescent="0.25">
      <c r="B8" t="s">
        <v>13</v>
      </c>
      <c r="C8" s="21">
        <v>5</v>
      </c>
      <c r="D8" t="str">
        <f t="shared" si="0"/>
        <v>Nesplněno</v>
      </c>
    </row>
    <row r="9" spans="2:7" x14ac:dyDescent="0.25">
      <c r="B9" t="s">
        <v>14</v>
      </c>
      <c r="C9" s="21">
        <v>50</v>
      </c>
      <c r="D9" t="str">
        <f t="shared" si="0"/>
        <v>Splněno</v>
      </c>
    </row>
    <row r="10" spans="2:7" x14ac:dyDescent="0.25">
      <c r="B10" t="s">
        <v>15</v>
      </c>
      <c r="C10" s="21">
        <v>90</v>
      </c>
      <c r="D10" t="str">
        <f t="shared" si="0"/>
        <v>Splněno</v>
      </c>
    </row>
    <row r="11" spans="2:7" x14ac:dyDescent="0.25">
      <c r="B11" t="s">
        <v>16</v>
      </c>
      <c r="C11" s="21">
        <v>80</v>
      </c>
      <c r="D11" t="str">
        <f t="shared" si="0"/>
        <v>Splněno</v>
      </c>
    </row>
    <row r="12" spans="2:7" x14ac:dyDescent="0.25">
      <c r="B12" t="s">
        <v>17</v>
      </c>
      <c r="C12" s="21">
        <v>70</v>
      </c>
      <c r="D12" t="str">
        <f t="shared" si="0"/>
        <v>Splněno</v>
      </c>
    </row>
    <row r="16" spans="2:7" x14ac:dyDescent="0.25">
      <c r="B16" s="2" t="s">
        <v>105</v>
      </c>
    </row>
    <row r="18" spans="2:7" x14ac:dyDescent="0.25">
      <c r="B18" s="2" t="s">
        <v>130</v>
      </c>
      <c r="C18" s="2" t="s">
        <v>106</v>
      </c>
      <c r="G18" s="2" t="s">
        <v>107</v>
      </c>
    </row>
    <row r="19" spans="2:7" x14ac:dyDescent="0.25">
      <c r="B19" t="s">
        <v>66</v>
      </c>
      <c r="C19" t="s">
        <v>109</v>
      </c>
      <c r="G19" s="1" t="s">
        <v>108</v>
      </c>
    </row>
    <row r="20" spans="2:7" x14ac:dyDescent="0.25">
      <c r="B20" t="s">
        <v>67</v>
      </c>
      <c r="C20" t="s">
        <v>110</v>
      </c>
      <c r="G20" t="s">
        <v>109</v>
      </c>
    </row>
    <row r="21" spans="2:7" x14ac:dyDescent="0.25">
      <c r="B21" t="s">
        <v>70</v>
      </c>
      <c r="C21" t="s">
        <v>108</v>
      </c>
      <c r="G21" t="s">
        <v>110</v>
      </c>
    </row>
    <row r="22" spans="2:7" x14ac:dyDescent="0.25">
      <c r="B22" t="s">
        <v>72</v>
      </c>
      <c r="C22" t="s">
        <v>317</v>
      </c>
    </row>
    <row r="23" spans="2:7" x14ac:dyDescent="0.25">
      <c r="B23" t="s">
        <v>68</v>
      </c>
      <c r="C23" t="s">
        <v>109</v>
      </c>
    </row>
    <row r="24" spans="2:7" x14ac:dyDescent="0.25">
      <c r="B24" t="s">
        <v>69</v>
      </c>
      <c r="C24" t="s">
        <v>108</v>
      </c>
    </row>
  </sheetData>
  <sheetProtection sheet="1" objects="1" scenarios="1" selectLockedCells="1"/>
  <dataValidations count="2">
    <dataValidation type="whole" allowBlank="1" showInputMessage="1" showErrorMessage="1" errorTitle="Chybná hodnota" error="Číslo je menší než 0, větší než 100 nebo není celé číslo. Prosím, zadej správný výsledek testu." promptTitle="Informace" prompt="Zadejte pouze celé číslo od 0 do 100" sqref="C3:C12">
      <formula1>0</formula1>
      <formula2>100</formula2>
    </dataValidation>
    <dataValidation type="list" errorStyle="warning" allowBlank="1" showInputMessage="1" showErrorMessage="1" error="píšete nestandardní stav. Opravdu chcete pokračovat?" sqref="C19:C24">
      <formula1>$G$19:$G$21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B2:J24"/>
  <sheetViews>
    <sheetView topLeftCell="A2" workbookViewId="0">
      <selection activeCell="J24" sqref="J24"/>
    </sheetView>
  </sheetViews>
  <sheetFormatPr defaultRowHeight="15" x14ac:dyDescent="0.25"/>
  <cols>
    <col min="2" max="2" width="19.5703125" customWidth="1"/>
    <col min="3" max="3" width="15.5703125" customWidth="1"/>
    <col min="4" max="4" width="12.85546875" style="14" customWidth="1"/>
    <col min="5" max="5" width="15.5703125" customWidth="1"/>
    <col min="6" max="6" width="7.7109375" customWidth="1"/>
    <col min="7" max="7" width="46.42578125" customWidth="1"/>
    <col min="8" max="8" width="14" customWidth="1"/>
  </cols>
  <sheetData>
    <row r="2" spans="2:10" x14ac:dyDescent="0.25">
      <c r="B2" s="2" t="s">
        <v>117</v>
      </c>
    </row>
    <row r="4" spans="2:10" x14ac:dyDescent="0.25">
      <c r="B4" s="2" t="s">
        <v>91</v>
      </c>
      <c r="C4" s="2" t="s">
        <v>119</v>
      </c>
      <c r="D4" s="10" t="s">
        <v>111</v>
      </c>
      <c r="E4" s="2" t="s">
        <v>112</v>
      </c>
      <c r="G4" s="2" t="s">
        <v>124</v>
      </c>
    </row>
    <row r="5" spans="2:10" x14ac:dyDescent="0.25">
      <c r="B5" s="1" t="s">
        <v>92</v>
      </c>
      <c r="C5">
        <v>3</v>
      </c>
      <c r="D5" s="14" t="s">
        <v>113</v>
      </c>
      <c r="E5" t="s">
        <v>114</v>
      </c>
      <c r="G5" s="1" t="s">
        <v>118</v>
      </c>
      <c r="H5">
        <f>COUNTIF(D5:D10,"Zdravé")</f>
        <v>2</v>
      </c>
      <c r="I5" s="4" t="s">
        <v>318</v>
      </c>
      <c r="J5" s="4"/>
    </row>
    <row r="6" spans="2:10" x14ac:dyDescent="0.25">
      <c r="B6" t="s">
        <v>93</v>
      </c>
      <c r="C6">
        <v>14</v>
      </c>
      <c r="D6" s="14" t="str">
        <f>IF(B6="Jablko","Zdravé","Nezdravé")</f>
        <v>Zdravé</v>
      </c>
      <c r="E6" t="s">
        <v>114</v>
      </c>
      <c r="G6" s="1" t="s">
        <v>121</v>
      </c>
      <c r="H6">
        <f>SUMIF(D5:D10,"Zdravé",C5:C10)</f>
        <v>17</v>
      </c>
      <c r="I6" s="4" t="s">
        <v>321</v>
      </c>
    </row>
    <row r="7" spans="2:10" x14ac:dyDescent="0.25">
      <c r="B7" t="s">
        <v>94</v>
      </c>
      <c r="C7">
        <v>2</v>
      </c>
      <c r="D7" s="14" t="str">
        <f>IF(B7="Jablko","Zdravé","Nezdravé")</f>
        <v>Nezdravé</v>
      </c>
      <c r="E7" t="s">
        <v>114</v>
      </c>
      <c r="G7" s="1" t="s">
        <v>122</v>
      </c>
      <c r="H7">
        <f>SUMIF(E5:E10,"Ano",C5:C10)</f>
        <v>42</v>
      </c>
      <c r="I7" s="4" t="s">
        <v>321</v>
      </c>
    </row>
    <row r="8" spans="2:10" x14ac:dyDescent="0.25">
      <c r="B8" t="s">
        <v>115</v>
      </c>
      <c r="C8">
        <v>34</v>
      </c>
      <c r="D8" s="14" t="str">
        <f>IF(B8="Jablko","Zdravé","Nezdravé")</f>
        <v>Nezdravé</v>
      </c>
      <c r="E8" t="s">
        <v>116</v>
      </c>
      <c r="G8" s="1" t="s">
        <v>123</v>
      </c>
      <c r="H8">
        <f>COUNTIF(E5:E10,"Ano")</f>
        <v>4</v>
      </c>
      <c r="I8" s="4" t="s">
        <v>318</v>
      </c>
    </row>
    <row r="9" spans="2:10" x14ac:dyDescent="0.25">
      <c r="B9" t="s">
        <v>95</v>
      </c>
      <c r="C9">
        <v>4</v>
      </c>
      <c r="D9" s="14" t="str">
        <f>IF(B9="Jablko","Zdravé","Nezdravé")</f>
        <v>Nezdravé</v>
      </c>
      <c r="E9" t="s">
        <v>116</v>
      </c>
      <c r="G9" s="1" t="s">
        <v>325</v>
      </c>
      <c r="H9">
        <f>SUMIFS(C5:C10,D5:D10,"Nezdravé",E5:E10,"Ano")</f>
        <v>25</v>
      </c>
      <c r="I9" s="4" t="s">
        <v>324</v>
      </c>
    </row>
    <row r="10" spans="2:10" x14ac:dyDescent="0.25">
      <c r="B10" t="s">
        <v>96</v>
      </c>
      <c r="C10">
        <v>23</v>
      </c>
      <c r="D10" s="14" t="str">
        <f>IF(B10="Jablko","Zdravé","Nezdravé")</f>
        <v>Nezdravé</v>
      </c>
      <c r="E10" t="s">
        <v>114</v>
      </c>
    </row>
    <row r="13" spans="2:10" x14ac:dyDescent="0.25">
      <c r="B13" s="2"/>
    </row>
    <row r="14" spans="2:10" x14ac:dyDescent="0.25">
      <c r="C14" s="2" t="s">
        <v>120</v>
      </c>
      <c r="D14" s="10" t="s">
        <v>50</v>
      </c>
      <c r="G14" s="2" t="s">
        <v>125</v>
      </c>
    </row>
    <row r="15" spans="2:10" x14ac:dyDescent="0.25">
      <c r="B15" t="s">
        <v>8</v>
      </c>
      <c r="C15" t="s">
        <v>114</v>
      </c>
      <c r="D15" s="14">
        <v>69</v>
      </c>
      <c r="G15" s="1" t="s">
        <v>126</v>
      </c>
      <c r="H15">
        <f>AVERAGE(D15:D24)</f>
        <v>71.400000000000006</v>
      </c>
    </row>
    <row r="16" spans="2:10" x14ac:dyDescent="0.25">
      <c r="B16" t="s">
        <v>9</v>
      </c>
      <c r="C16" t="s">
        <v>116</v>
      </c>
      <c r="D16" s="14">
        <v>52</v>
      </c>
      <c r="G16" t="s">
        <v>127</v>
      </c>
      <c r="H16" s="22">
        <f>AVERAGEIF(C15:C24,"Ano",D15:D24)</f>
        <v>74.333333333333329</v>
      </c>
      <c r="I16" s="4" t="s">
        <v>322</v>
      </c>
    </row>
    <row r="17" spans="2:9" x14ac:dyDescent="0.25">
      <c r="B17" t="s">
        <v>10</v>
      </c>
      <c r="C17" t="s">
        <v>116</v>
      </c>
      <c r="D17" s="14">
        <v>85</v>
      </c>
      <c r="G17" t="s">
        <v>128</v>
      </c>
      <c r="H17" s="22">
        <f>AVERAGEIF(C15:C24,"&lt;&gt;Ano",D15:D24)</f>
        <v>70.142857142857139</v>
      </c>
      <c r="I17" s="4" t="s">
        <v>322</v>
      </c>
    </row>
    <row r="18" spans="2:9" x14ac:dyDescent="0.25">
      <c r="B18" t="s">
        <v>11</v>
      </c>
      <c r="C18" t="s">
        <v>116</v>
      </c>
      <c r="D18" s="14">
        <v>70</v>
      </c>
      <c r="G18" t="s">
        <v>320</v>
      </c>
      <c r="H18">
        <f>COUNTIF(D15:D24,"&gt;60")</f>
        <v>9</v>
      </c>
      <c r="I18" s="4" t="s">
        <v>318</v>
      </c>
    </row>
    <row r="19" spans="2:9" x14ac:dyDescent="0.25">
      <c r="B19" t="s">
        <v>12</v>
      </c>
      <c r="C19" t="s">
        <v>114</v>
      </c>
      <c r="D19" s="14">
        <v>83</v>
      </c>
      <c r="G19" t="s">
        <v>323</v>
      </c>
      <c r="H19">
        <f>AVERAGEIF(D15:D24,"&gt;70")</f>
        <v>81</v>
      </c>
      <c r="I19" s="4" t="s">
        <v>322</v>
      </c>
    </row>
    <row r="20" spans="2:9" x14ac:dyDescent="0.25">
      <c r="B20" t="s">
        <v>13</v>
      </c>
      <c r="C20" t="s">
        <v>114</v>
      </c>
      <c r="D20" s="14">
        <v>71</v>
      </c>
    </row>
    <row r="21" spans="2:9" x14ac:dyDescent="0.25">
      <c r="B21" t="s">
        <v>14</v>
      </c>
      <c r="C21" t="s">
        <v>116</v>
      </c>
      <c r="D21" s="14">
        <v>67</v>
      </c>
    </row>
    <row r="22" spans="2:9" x14ac:dyDescent="0.25">
      <c r="B22" t="s">
        <v>15</v>
      </c>
      <c r="C22" t="s">
        <v>116</v>
      </c>
      <c r="D22" s="14">
        <v>67</v>
      </c>
    </row>
    <row r="23" spans="2:9" x14ac:dyDescent="0.25">
      <c r="B23" t="s">
        <v>16</v>
      </c>
      <c r="C23" t="s">
        <v>116</v>
      </c>
      <c r="D23" s="14">
        <v>65</v>
      </c>
    </row>
    <row r="24" spans="2:9" x14ac:dyDescent="0.25">
      <c r="B24" t="s">
        <v>17</v>
      </c>
      <c r="C24" t="s">
        <v>116</v>
      </c>
      <c r="D24" s="14"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1 Práce s listy</vt:lpstr>
      <vt:lpstr>2. Obrácení seznamu</vt:lpstr>
      <vt:lpstr>3. Vzorce a odkazy</vt:lpstr>
      <vt:lpstr>4. Časové funkce</vt:lpstr>
      <vt:lpstr>5. Textové funkce</vt:lpstr>
      <vt:lpstr>Dynamické doplňování</vt:lpstr>
      <vt:lpstr>6. Logické funkce</vt:lpstr>
      <vt:lpstr>7. Ověření dat</vt:lpstr>
      <vt:lpstr>8. Podmíněné funkce</vt:lpstr>
      <vt:lpstr>9. Složené funkce</vt:lpstr>
      <vt:lpstr>10. Index</vt:lpstr>
      <vt:lpstr>11. Svyhledat</vt:lpstr>
      <vt:lpstr>12. Ostatní chytré funkce</vt:lpstr>
      <vt:lpstr>13. Prostorové vzorce</vt:lpstr>
      <vt:lpstr>Praha</vt:lpstr>
      <vt:lpstr>Brno</vt:lpstr>
      <vt:lpstr>Olomouc</vt:lpstr>
      <vt:lpstr>Rumburk</vt:lpstr>
      <vt:lpstr>14. Grafy</vt:lpstr>
      <vt:lpstr>15. Grafy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Jirí Benedikt</dc:creator>
  <cp:lastModifiedBy>Jirí Benedikt</cp:lastModifiedBy>
  <dcterms:created xsi:type="dcterms:W3CDTF">2016-04-03T10:40:14Z</dcterms:created>
  <dcterms:modified xsi:type="dcterms:W3CDTF">2017-01-23T07:52:31Z</dcterms:modified>
</cp:coreProperties>
</file>